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60" yWindow="135" windowWidth="9420" windowHeight="6495" tabRatio="869"/>
  </bookViews>
  <sheets>
    <sheet name="Guide" sheetId="8" r:id="rId1"/>
    <sheet name="Model" sheetId="7" r:id="rId2"/>
  </sheets>
  <definedNames>
    <definedName name="solver_adj" localSheetId="1" hidden="1">Model!$C$7,Model!$E$7,Model!$C$9,Model!$E$9,Model!$C$11,Model!$E$11,Model!$C$13,Model!$E$13,Model!$H$6,Model!$H$7,Model!$J$6,Model!$C$17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1000</definedName>
    <definedName name="solver_lhs1" localSheetId="1" hidden="1">Model!$C$7</definedName>
    <definedName name="solver_lhs10" localSheetId="1" hidden="1">Model!$C$13</definedName>
    <definedName name="solver_lhs11" localSheetId="1" hidden="1">Model!$E$13</definedName>
    <definedName name="solver_lhs12" localSheetId="1" hidden="1">Model!$C$17</definedName>
    <definedName name="solver_lhs13" localSheetId="1" hidden="1">Model!$E$13</definedName>
    <definedName name="solver_lhs14" localSheetId="1" hidden="1">Model!$C$13</definedName>
    <definedName name="solver_lhs15" localSheetId="1" hidden="1">Model!$E$13</definedName>
    <definedName name="solver_lhs16" localSheetId="1" hidden="1">Model!$E$9</definedName>
    <definedName name="solver_lhs17" localSheetId="1" hidden="1">Model!$E$7</definedName>
    <definedName name="solver_lhs18" localSheetId="1" hidden="1">Model!$H$7</definedName>
    <definedName name="solver_lhs19" localSheetId="1" hidden="1">Model!$E$9</definedName>
    <definedName name="solver_lhs2" localSheetId="1" hidden="1">Model!$E$7</definedName>
    <definedName name="solver_lhs20" localSheetId="1" hidden="1">Model!$E$9</definedName>
    <definedName name="solver_lhs21" localSheetId="1" hidden="1">Model!$E$9</definedName>
    <definedName name="solver_lhs22" localSheetId="1" hidden="1">Model!$E$11</definedName>
    <definedName name="solver_lhs23" localSheetId="1" hidden="1">Model!$E$11</definedName>
    <definedName name="solver_lhs24" localSheetId="1" hidden="1">Model!$C$17</definedName>
    <definedName name="solver_lhs3" localSheetId="1" hidden="1">Model!$H$6</definedName>
    <definedName name="solver_lhs4" localSheetId="1" hidden="1">Model!$J$6</definedName>
    <definedName name="solver_lhs5" localSheetId="1" hidden="1">Model!$M$7</definedName>
    <definedName name="solver_lhs6" localSheetId="1" hidden="1">Model!$C$9</definedName>
    <definedName name="solver_lhs7" localSheetId="1" hidden="1">Model!$E$9</definedName>
    <definedName name="solver_lhs8" localSheetId="1" hidden="1">Model!$C$11</definedName>
    <definedName name="solver_lhs9" localSheetId="1" hidden="1">Model!$E$11</definedName>
    <definedName name="solver_lin" localSheetId="1" hidden="1">2</definedName>
    <definedName name="solver_neg" localSheetId="1" hidden="1">2</definedName>
    <definedName name="solver_num" localSheetId="1" hidden="1">12</definedName>
    <definedName name="solver_nwt" localSheetId="1" hidden="1">1</definedName>
    <definedName name="solver_opt" localSheetId="1" hidden="1">Model!$C$19</definedName>
    <definedName name="solver_pre" localSheetId="1" hidden="1">0.0001</definedName>
    <definedName name="solver_rel1" localSheetId="1" hidden="1">2</definedName>
    <definedName name="solver_rel10" localSheetId="1" hidden="1">2</definedName>
    <definedName name="solver_rel11" localSheetId="1" hidden="1">2</definedName>
    <definedName name="solver_rel12" localSheetId="1" hidden="1">2</definedName>
    <definedName name="solver_rel13" localSheetId="1" hidden="1">2</definedName>
    <definedName name="solver_rel14" localSheetId="1" hidden="1">3</definedName>
    <definedName name="solver_rel15" localSheetId="1" hidden="1">3</definedName>
    <definedName name="solver_rel16" localSheetId="1" hidden="1">3</definedName>
    <definedName name="solver_rel17" localSheetId="1" hidden="1">3</definedName>
    <definedName name="solver_rel18" localSheetId="1" hidden="1">3</definedName>
    <definedName name="solver_rel19" localSheetId="1" hidden="1">3</definedName>
    <definedName name="solver_rel2" localSheetId="1" hidden="1">2</definedName>
    <definedName name="solver_rel20" localSheetId="1" hidden="1">3</definedName>
    <definedName name="solver_rel21" localSheetId="1" hidden="1">3</definedName>
    <definedName name="solver_rel22" localSheetId="1" hidden="1">3</definedName>
    <definedName name="solver_rel23" localSheetId="1" hidden="1">3</definedName>
    <definedName name="solver_rel24" localSheetId="1" hidden="1">3</definedName>
    <definedName name="solver_rel3" localSheetId="1" hidden="1">2</definedName>
    <definedName name="solver_rel4" localSheetId="1" hidden="1">2</definedName>
    <definedName name="solver_rel5" localSheetId="1" hidden="1">2</definedName>
    <definedName name="solver_rel6" localSheetId="1" hidden="1">2</definedName>
    <definedName name="solver_rel7" localSheetId="1" hidden="1">2</definedName>
    <definedName name="solver_rel8" localSheetId="1" hidden="1">2</definedName>
    <definedName name="solver_rel9" localSheetId="1" hidden="1">2</definedName>
    <definedName name="solver_rhs1" localSheetId="1" hidden="1">Model!$D$7</definedName>
    <definedName name="solver_rhs10" localSheetId="1" hidden="1">Model!$D$13</definedName>
    <definedName name="solver_rhs11" localSheetId="1" hidden="1">Model!$F$13</definedName>
    <definedName name="solver_rhs12" localSheetId="1" hidden="1">Model!$D$17</definedName>
    <definedName name="solver_rhs13" localSheetId="1" hidden="1">Model!$F$13</definedName>
    <definedName name="solver_rhs14" localSheetId="1" hidden="1">-500</definedName>
    <definedName name="solver_rhs15" localSheetId="1" hidden="1">-500</definedName>
    <definedName name="solver_rhs16" localSheetId="1" hidden="1">0.0001</definedName>
    <definedName name="solver_rhs17" localSheetId="1" hidden="1">0.0001</definedName>
    <definedName name="solver_rhs18" localSheetId="1" hidden="1">0.0001</definedName>
    <definedName name="solver_rhs19" localSheetId="1" hidden="1">0.0001</definedName>
    <definedName name="solver_rhs2" localSheetId="1" hidden="1">Model!$F$7</definedName>
    <definedName name="solver_rhs20" localSheetId="1" hidden="1">0.0001</definedName>
    <definedName name="solver_rhs21" localSheetId="1" hidden="1">0.0001</definedName>
    <definedName name="solver_rhs22" localSheetId="1" hidden="1">0.0001</definedName>
    <definedName name="solver_rhs23" localSheetId="1" hidden="1">0.0001</definedName>
    <definedName name="solver_rhs24" localSheetId="1" hidden="1">0.0001</definedName>
    <definedName name="solver_rhs3" localSheetId="1" hidden="1">Model!$I$6</definedName>
    <definedName name="solver_rhs4" localSheetId="1" hidden="1">Model!$K$6</definedName>
    <definedName name="solver_rhs5" localSheetId="1" hidden="1">Model!$N$7</definedName>
    <definedName name="solver_rhs6" localSheetId="1" hidden="1">Model!$D$9</definedName>
    <definedName name="solver_rhs7" localSheetId="1" hidden="1">Model!$F$9</definedName>
    <definedName name="solver_rhs8" localSheetId="1" hidden="1">Model!$D$11</definedName>
    <definedName name="solver_rhs9" localSheetId="1" hidden="1">Model!$F$11</definedName>
    <definedName name="solver_scl" localSheetId="1" hidden="1">1</definedName>
    <definedName name="solver_sho" localSheetId="1" hidden="1">2</definedName>
    <definedName name="solver_tim" localSheetId="1" hidden="1">100</definedName>
    <definedName name="solver_tol" localSheetId="1" hidden="1">0.05</definedName>
    <definedName name="solver_typ" localSheetId="1" hidden="1">1</definedName>
    <definedName name="solver_val" localSheetId="1" hidden="1">0</definedName>
  </definedNames>
  <calcPr calcId="125725"/>
</workbook>
</file>

<file path=xl/calcChain.xml><?xml version="1.0" encoding="utf-8"?>
<calcChain xmlns="http://schemas.openxmlformats.org/spreadsheetml/2006/main">
  <c r="AD3" i="7"/>
  <c r="AH3"/>
  <c r="AI3"/>
  <c r="AN3"/>
  <c r="AP3"/>
  <c r="AQ3"/>
  <c r="AR3"/>
  <c r="AS3"/>
  <c r="AG4"/>
  <c r="AH4"/>
  <c r="AI4"/>
  <c r="AJ4"/>
  <c r="AO4"/>
  <c r="AP4"/>
  <c r="AQ4"/>
  <c r="AR4"/>
  <c r="AV4"/>
  <c r="AW4"/>
  <c r="AP5"/>
  <c r="AQ5"/>
  <c r="AP6"/>
  <c r="AQ6"/>
  <c r="AP7"/>
  <c r="AQ7"/>
  <c r="AC31"/>
  <c r="AT33"/>
  <c r="AV33"/>
  <c r="AW33"/>
  <c r="C29"/>
  <c r="E29"/>
  <c r="C24"/>
  <c r="C25"/>
  <c r="E24"/>
  <c r="E25"/>
  <c r="I6"/>
  <c r="K6"/>
  <c r="F13"/>
  <c r="D13"/>
  <c r="D11"/>
  <c r="D17"/>
  <c r="F11"/>
  <c r="N7"/>
  <c r="C27"/>
  <c r="D7"/>
  <c r="C19"/>
  <c r="AV32"/>
  <c r="AD31"/>
  <c r="AW32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C4"/>
  <c r="F7"/>
  <c r="E27"/>
  <c r="D9"/>
  <c r="AD4"/>
  <c r="AW5"/>
  <c r="AV5"/>
  <c r="AZ3"/>
  <c r="AF4"/>
  <c r="AY4"/>
  <c r="AZ5"/>
  <c r="AY32"/>
  <c r="AF3"/>
  <c r="AZ4"/>
  <c r="AY5"/>
  <c r="AF31"/>
  <c r="AZ32"/>
  <c r="AY33"/>
  <c r="AU4"/>
  <c r="AU6"/>
  <c r="AU8"/>
  <c r="AU10"/>
  <c r="AU12"/>
  <c r="AU14"/>
  <c r="AU16"/>
  <c r="AU18"/>
  <c r="AU20"/>
  <c r="AU22"/>
  <c r="AU24"/>
  <c r="AU26"/>
  <c r="AU28"/>
  <c r="AU30"/>
  <c r="AU32"/>
  <c r="AU3"/>
  <c r="AU5"/>
  <c r="AU7"/>
  <c r="AU9"/>
  <c r="AU11"/>
  <c r="AU13"/>
  <c r="AU15"/>
  <c r="AU17"/>
  <c r="AU19"/>
  <c r="AU21"/>
  <c r="AU23"/>
  <c r="AU25"/>
  <c r="AU27"/>
  <c r="AU29"/>
  <c r="AU31"/>
  <c r="AU33"/>
  <c r="AE3"/>
  <c r="AX5"/>
  <c r="AE31"/>
  <c r="AX33"/>
  <c r="AE4"/>
  <c r="AX4"/>
  <c r="AX32"/>
  <c r="AC5"/>
  <c r="F9"/>
  <c r="AD5"/>
  <c r="AV6"/>
  <c r="AZ6"/>
  <c r="AC6"/>
  <c r="AX6"/>
  <c r="AE5"/>
  <c r="AD6"/>
  <c r="AV7"/>
  <c r="AZ7"/>
  <c r="AC7"/>
  <c r="AX7"/>
  <c r="AE6"/>
  <c r="AW6"/>
  <c r="AY6"/>
  <c r="AF5"/>
  <c r="AD7"/>
  <c r="AV8"/>
  <c r="AZ8"/>
  <c r="AC8"/>
  <c r="AE7"/>
  <c r="AX8"/>
  <c r="AW7"/>
  <c r="AY7"/>
  <c r="AF6"/>
  <c r="AD8"/>
  <c r="AV9"/>
  <c r="AZ9"/>
  <c r="AC9"/>
  <c r="AX9"/>
  <c r="AE8"/>
  <c r="AW8"/>
  <c r="AY8"/>
  <c r="AF7"/>
  <c r="AD9"/>
  <c r="AV10"/>
  <c r="AZ10"/>
  <c r="AC10"/>
  <c r="AE9"/>
  <c r="AX10"/>
  <c r="AW9"/>
  <c r="AY9"/>
  <c r="AF8"/>
  <c r="AD10"/>
  <c r="AV11"/>
  <c r="AZ11"/>
  <c r="AC11"/>
  <c r="AX11"/>
  <c r="AE10"/>
  <c r="AW10"/>
  <c r="AY10"/>
  <c r="AF9"/>
  <c r="AD11"/>
  <c r="AV12"/>
  <c r="AZ12"/>
  <c r="AC12"/>
  <c r="AE11"/>
  <c r="AX12"/>
  <c r="AW11"/>
  <c r="AY11"/>
  <c r="AF10"/>
  <c r="AD12"/>
  <c r="AV13"/>
  <c r="AZ13"/>
  <c r="AC13"/>
  <c r="AX13"/>
  <c r="AE12"/>
  <c r="AW12"/>
  <c r="AY12"/>
  <c r="AF11"/>
  <c r="AD13"/>
  <c r="AV14"/>
  <c r="AZ14"/>
  <c r="AC14"/>
  <c r="AE13"/>
  <c r="AX14"/>
  <c r="AW13"/>
  <c r="AY13"/>
  <c r="AF12"/>
  <c r="AD14"/>
  <c r="AV15"/>
  <c r="AZ15"/>
  <c r="AC15"/>
  <c r="AX15"/>
  <c r="AE14"/>
  <c r="AW14"/>
  <c r="AY14"/>
  <c r="AF13"/>
  <c r="AD15"/>
  <c r="AV16"/>
  <c r="AZ16"/>
  <c r="AC16"/>
  <c r="AX16"/>
  <c r="AE15"/>
  <c r="AW15"/>
  <c r="AY15"/>
  <c r="AF14"/>
  <c r="AD16"/>
  <c r="AV17"/>
  <c r="AZ17"/>
  <c r="AC17"/>
  <c r="AX17"/>
  <c r="AE16"/>
  <c r="AW16"/>
  <c r="AY16"/>
  <c r="AF15"/>
  <c r="AD17"/>
  <c r="AV18"/>
  <c r="AZ18"/>
  <c r="AC18"/>
  <c r="AE17"/>
  <c r="AX18"/>
  <c r="AW17"/>
  <c r="AY17"/>
  <c r="AF16"/>
  <c r="AD18"/>
  <c r="AV19"/>
  <c r="AZ19"/>
  <c r="AC19"/>
  <c r="AX19"/>
  <c r="AE18"/>
  <c r="AW18"/>
  <c r="AY18"/>
  <c r="AF17"/>
  <c r="AD19"/>
  <c r="AV20"/>
  <c r="AZ20"/>
  <c r="AC20"/>
  <c r="AE19"/>
  <c r="AX20"/>
  <c r="AW19"/>
  <c r="AY19"/>
  <c r="AF18"/>
  <c r="AD20"/>
  <c r="AV21"/>
  <c r="AZ21"/>
  <c r="AC21"/>
  <c r="AX21"/>
  <c r="AE20"/>
  <c r="AW20"/>
  <c r="AY20"/>
  <c r="AF19"/>
  <c r="AD21"/>
  <c r="AV22"/>
  <c r="AZ22"/>
  <c r="AC22"/>
  <c r="AX22"/>
  <c r="AE21"/>
  <c r="AW21"/>
  <c r="AY21"/>
  <c r="AF20"/>
  <c r="AD22"/>
  <c r="AV23"/>
  <c r="AZ23"/>
  <c r="AC23"/>
  <c r="AX23"/>
  <c r="AE22"/>
  <c r="AW22"/>
  <c r="AY22"/>
  <c r="AF21"/>
  <c r="AD23"/>
  <c r="AV24"/>
  <c r="AZ24"/>
  <c r="AC24"/>
  <c r="AE23"/>
  <c r="AX24"/>
  <c r="AW23"/>
  <c r="AY23"/>
  <c r="AF22"/>
  <c r="AD24"/>
  <c r="AV25"/>
  <c r="AZ25"/>
  <c r="AC25"/>
  <c r="AX25"/>
  <c r="AE24"/>
  <c r="AW24"/>
  <c r="AY24"/>
  <c r="AF23"/>
  <c r="AD25"/>
  <c r="AV26"/>
  <c r="AZ26"/>
  <c r="AC26"/>
  <c r="AE25"/>
  <c r="AX26"/>
  <c r="AW25"/>
  <c r="AY25"/>
  <c r="AF24"/>
  <c r="AD26"/>
  <c r="AV27"/>
  <c r="AZ27"/>
  <c r="AC27"/>
  <c r="AX27"/>
  <c r="AE26"/>
  <c r="AW26"/>
  <c r="AY26"/>
  <c r="AF25"/>
  <c r="AD27"/>
  <c r="AV28"/>
  <c r="AZ28"/>
  <c r="AC28"/>
  <c r="AX28"/>
  <c r="AE27"/>
  <c r="AW27"/>
  <c r="AY27"/>
  <c r="AF26"/>
  <c r="AD28"/>
  <c r="AV29"/>
  <c r="AZ29"/>
  <c r="AC29"/>
  <c r="AX29"/>
  <c r="AE28"/>
  <c r="AW28"/>
  <c r="AY28"/>
  <c r="AF27"/>
  <c r="AD29"/>
  <c r="AV30"/>
  <c r="AZ30"/>
  <c r="AC30"/>
  <c r="AE29"/>
  <c r="AX30"/>
  <c r="AW29"/>
  <c r="AY29"/>
  <c r="AF28"/>
  <c r="AD30"/>
  <c r="AV31"/>
  <c r="AZ31"/>
  <c r="AX31"/>
  <c r="AE30"/>
  <c r="AW30"/>
  <c r="AY30"/>
  <c r="AF29"/>
  <c r="AW31"/>
  <c r="AY31"/>
  <c r="AF30"/>
</calcChain>
</file>

<file path=xl/sharedStrings.xml><?xml version="1.0" encoding="utf-8"?>
<sst xmlns="http://schemas.openxmlformats.org/spreadsheetml/2006/main" count="42" uniqueCount="33">
  <si>
    <t>Capital</t>
  </si>
  <si>
    <t>Labor</t>
  </si>
  <si>
    <t>Output</t>
  </si>
  <si>
    <t>X</t>
  </si>
  <si>
    <t>Y</t>
  </si>
  <si>
    <t>Inputs</t>
  </si>
  <si>
    <t>Prices</t>
  </si>
  <si>
    <t>Consumption</t>
  </si>
  <si>
    <t>Trade</t>
  </si>
  <si>
    <t>Income</t>
  </si>
  <si>
    <t>Factor Prices</t>
  </si>
  <si>
    <t>Endowment</t>
  </si>
  <si>
    <t>Shifts</t>
  </si>
  <si>
    <t>Cost Shares</t>
  </si>
  <si>
    <t>Welfare Index</t>
  </si>
  <si>
    <t>Lx</t>
  </si>
  <si>
    <t>Ly</t>
  </si>
  <si>
    <t>Consumption Shares</t>
  </si>
  <si>
    <t>Equilibrium Values of Variables</t>
  </si>
  <si>
    <t>The Specific Factors Model of Production</t>
  </si>
  <si>
    <t>VMPLX</t>
  </si>
  <si>
    <t>VMPLY</t>
  </si>
  <si>
    <t>Vertical</t>
  </si>
  <si>
    <t>TPX</t>
  </si>
  <si>
    <t>TPY</t>
  </si>
  <si>
    <t>Wage</t>
  </si>
  <si>
    <t>Allocation</t>
  </si>
  <si>
    <t>Labor allocation</t>
  </si>
  <si>
    <t>Budget</t>
  </si>
  <si>
    <t>Utility</t>
  </si>
  <si>
    <t>Labor Market Equilibrium Diagram</t>
  </si>
  <si>
    <t>PPF (Quadrant) Diagram</t>
  </si>
  <si>
    <t>Parameters</t>
  </si>
</sst>
</file>

<file path=xl/styles.xml><?xml version="1.0" encoding="utf-8"?>
<styleSheet xmlns="http://schemas.openxmlformats.org/spreadsheetml/2006/main">
  <numFmts count="2">
    <numFmt numFmtId="168" formatCode="0.0"/>
    <numFmt numFmtId="173" formatCode="0.0_ "/>
  </numFmts>
  <fonts count="12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6" fillId="2" borderId="0" xfId="0" applyFont="1" applyFill="1" applyBorder="1"/>
    <xf numFmtId="0" fontId="4" fillId="2" borderId="0" xfId="0" applyFont="1" applyFill="1" applyBorder="1"/>
    <xf numFmtId="168" fontId="4" fillId="2" borderId="0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7" fillId="2" borderId="0" xfId="0" applyFont="1" applyFill="1" applyBorder="1"/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8" fontId="7" fillId="2" borderId="0" xfId="0" applyNumberFormat="1" applyFont="1" applyFill="1" applyBorder="1"/>
    <xf numFmtId="0" fontId="7" fillId="3" borderId="0" xfId="0" applyFont="1" applyFill="1" applyBorder="1"/>
    <xf numFmtId="2" fontId="8" fillId="2" borderId="1" xfId="0" applyNumberFormat="1" applyFont="1" applyFill="1" applyBorder="1"/>
    <xf numFmtId="2" fontId="9" fillId="3" borderId="0" xfId="0" applyNumberFormat="1" applyFont="1" applyFill="1" applyBorder="1"/>
    <xf numFmtId="2" fontId="9" fillId="2" borderId="1" xfId="0" applyNumberFormat="1" applyFont="1" applyFill="1" applyBorder="1"/>
    <xf numFmtId="2" fontId="9" fillId="3" borderId="1" xfId="0" applyNumberFormat="1" applyFont="1" applyFill="1" applyBorder="1" applyProtection="1">
      <protection locked="0"/>
    </xf>
    <xf numFmtId="2" fontId="7" fillId="3" borderId="0" xfId="0" applyNumberFormat="1" applyFont="1" applyFill="1" applyBorder="1"/>
    <xf numFmtId="2" fontId="6" fillId="2" borderId="1" xfId="0" applyNumberFormat="1" applyFont="1" applyFill="1" applyBorder="1"/>
    <xf numFmtId="2" fontId="6" fillId="3" borderId="0" xfId="0" applyNumberFormat="1" applyFont="1" applyFill="1" applyBorder="1"/>
    <xf numFmtId="2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/>
    <xf numFmtId="2" fontId="5" fillId="2" borderId="0" xfId="0" applyNumberFormat="1" applyFont="1" applyFill="1" applyBorder="1"/>
    <xf numFmtId="2" fontId="6" fillId="2" borderId="0" xfId="0" applyNumberFormat="1" applyFont="1" applyFill="1" applyBorder="1"/>
    <xf numFmtId="168" fontId="6" fillId="2" borderId="0" xfId="0" applyNumberFormat="1" applyFont="1" applyFill="1" applyBorder="1"/>
    <xf numFmtId="2" fontId="6" fillId="2" borderId="0" xfId="0" applyNumberFormat="1" applyFont="1" applyFill="1" applyBorder="1" applyProtection="1">
      <protection locked="0"/>
    </xf>
    <xf numFmtId="173" fontId="4" fillId="2" borderId="0" xfId="0" applyNumberFormat="1" applyFont="1" applyFill="1" applyBorder="1" applyAlignment="1">
      <alignment horizontal="right"/>
    </xf>
    <xf numFmtId="173" fontId="4" fillId="2" borderId="0" xfId="0" applyNumberFormat="1" applyFont="1" applyFill="1" applyBorder="1"/>
    <xf numFmtId="2" fontId="6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2" fontId="4" fillId="2" borderId="0" xfId="0" applyNumberFormat="1" applyFont="1" applyFill="1" applyBorder="1"/>
    <xf numFmtId="2" fontId="8" fillId="3" borderId="1" xfId="0" applyNumberFormat="1" applyFont="1" applyFill="1" applyBorder="1"/>
    <xf numFmtId="2" fontId="9" fillId="3" borderId="1" xfId="0" applyNumberFormat="1" applyFont="1" applyFill="1" applyBorder="1"/>
    <xf numFmtId="2" fontId="9" fillId="4" borderId="1" xfId="0" applyNumberFormat="1" applyFont="1" applyFill="1" applyBorder="1"/>
    <xf numFmtId="2" fontId="9" fillId="4" borderId="0" xfId="0" applyNumberFormat="1" applyFont="1" applyFill="1" applyBorder="1"/>
    <xf numFmtId="2" fontId="6" fillId="4" borderId="0" xfId="0" applyNumberFormat="1" applyFont="1" applyFill="1" applyBorder="1"/>
    <xf numFmtId="2" fontId="6" fillId="4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0" fontId="3" fillId="5" borderId="0" xfId="0" applyFont="1" applyFill="1" applyBorder="1"/>
    <xf numFmtId="0" fontId="0" fillId="2" borderId="0" xfId="0" applyFill="1"/>
    <xf numFmtId="2" fontId="3" fillId="5" borderId="0" xfId="0" applyNumberFormat="1" applyFont="1" applyFill="1" applyBorder="1"/>
    <xf numFmtId="2" fontId="6" fillId="4" borderId="2" xfId="0" applyNumberFormat="1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2" fontId="6" fillId="4" borderId="5" xfId="0" applyNumberFormat="1" applyFont="1" applyFill="1" applyBorder="1"/>
    <xf numFmtId="0" fontId="6" fillId="4" borderId="0" xfId="0" applyFont="1" applyFill="1" applyBorder="1"/>
    <xf numFmtId="0" fontId="6" fillId="4" borderId="6" xfId="0" applyFont="1" applyFill="1" applyBorder="1"/>
    <xf numFmtId="2" fontId="7" fillId="4" borderId="5" xfId="0" applyNumberFormat="1" applyFont="1" applyFill="1" applyBorder="1"/>
    <xf numFmtId="0" fontId="7" fillId="4" borderId="0" xfId="0" applyFont="1" applyFill="1" applyBorder="1"/>
    <xf numFmtId="0" fontId="7" fillId="4" borderId="6" xfId="0" applyFont="1" applyFill="1" applyBorder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0" fontId="6" fillId="4" borderId="8" xfId="0" applyFont="1" applyFill="1" applyBorder="1"/>
    <xf numFmtId="0" fontId="6" fillId="4" borderId="9" xfId="0" applyFont="1" applyFill="1" applyBorder="1"/>
    <xf numFmtId="2" fontId="7" fillId="4" borderId="0" xfId="0" applyNumberFormat="1" applyFont="1" applyFill="1" applyBorder="1"/>
    <xf numFmtId="0" fontId="6" fillId="4" borderId="2" xfId="0" applyFont="1" applyFill="1" applyBorder="1"/>
    <xf numFmtId="0" fontId="7" fillId="4" borderId="5" xfId="0" applyFont="1" applyFill="1" applyBorder="1"/>
    <xf numFmtId="0" fontId="6" fillId="4" borderId="5" xfId="0" applyFont="1" applyFill="1" applyBorder="1"/>
    <xf numFmtId="0" fontId="6" fillId="4" borderId="7" xfId="0" applyFont="1" applyFill="1" applyBorder="1"/>
    <xf numFmtId="2" fontId="7" fillId="2" borderId="0" xfId="0" applyNumberFormat="1" applyFont="1" applyFill="1" applyBorder="1"/>
    <xf numFmtId="0" fontId="3" fillId="5" borderId="6" xfId="0" applyFont="1" applyFill="1" applyBorder="1"/>
    <xf numFmtId="0" fontId="6" fillId="6" borderId="5" xfId="0" applyFont="1" applyFill="1" applyBorder="1"/>
    <xf numFmtId="0" fontId="6" fillId="3" borderId="6" xfId="0" applyFont="1" applyFill="1" applyBorder="1"/>
    <xf numFmtId="0" fontId="7" fillId="6" borderId="5" xfId="0" applyFont="1" applyFill="1" applyBorder="1"/>
    <xf numFmtId="0" fontId="9" fillId="3" borderId="6" xfId="0" applyFont="1" applyFill="1" applyBorder="1"/>
    <xf numFmtId="0" fontId="7" fillId="3" borderId="6" xfId="0" applyFont="1" applyFill="1" applyBorder="1"/>
    <xf numFmtId="0" fontId="4" fillId="3" borderId="6" xfId="0" applyFont="1" applyFill="1" applyBorder="1"/>
    <xf numFmtId="2" fontId="10" fillId="5" borderId="5" xfId="0" applyNumberFormat="1" applyFont="1" applyFill="1" applyBorder="1"/>
    <xf numFmtId="2" fontId="6" fillId="6" borderId="5" xfId="0" applyNumberFormat="1" applyFont="1" applyFill="1" applyBorder="1"/>
    <xf numFmtId="2" fontId="6" fillId="6" borderId="7" xfId="0" applyNumberFormat="1" applyFont="1" applyFill="1" applyBorder="1"/>
    <xf numFmtId="0" fontId="6" fillId="3" borderId="8" xfId="0" applyFont="1" applyFill="1" applyBorder="1"/>
    <xf numFmtId="2" fontId="6" fillId="3" borderId="8" xfId="0" applyNumberFormat="1" applyFont="1" applyFill="1" applyBorder="1" applyProtection="1">
      <protection locked="0"/>
    </xf>
    <xf numFmtId="2" fontId="6" fillId="3" borderId="8" xfId="0" applyNumberFormat="1" applyFont="1" applyFill="1" applyBorder="1"/>
    <xf numFmtId="0" fontId="6" fillId="3" borderId="9" xfId="0" applyFont="1" applyFill="1" applyBorder="1"/>
    <xf numFmtId="0" fontId="11" fillId="7" borderId="2" xfId="0" applyFont="1" applyFill="1" applyBorder="1" applyAlignment="1">
      <alignment horizontal="left"/>
    </xf>
    <xf numFmtId="0" fontId="6" fillId="7" borderId="3" xfId="0" applyFont="1" applyFill="1" applyBorder="1"/>
    <xf numFmtId="0" fontId="6" fillId="7" borderId="0" xfId="0" applyFont="1" applyFill="1" applyBorder="1"/>
    <xf numFmtId="2" fontId="6" fillId="7" borderId="0" xfId="0" applyNumberFormat="1" applyFont="1" applyFill="1" applyBorder="1"/>
    <xf numFmtId="2" fontId="6" fillId="7" borderId="0" xfId="0" applyNumberFormat="1" applyFont="1" applyFill="1" applyBorder="1" applyProtection="1">
      <protection locked="0"/>
    </xf>
    <xf numFmtId="0" fontId="10" fillId="5" borderId="2" xfId="0" applyFont="1" applyFill="1" applyBorder="1" applyAlignment="1">
      <alignment horizontal="left"/>
    </xf>
    <xf numFmtId="0" fontId="6" fillId="5" borderId="3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1" fillId="6" borderId="5" xfId="0" applyFont="1" applyFill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2" fontId="1" fillId="6" borderId="5" xfId="0" applyNumberFormat="1" applyFont="1" applyFill="1" applyBorder="1"/>
    <xf numFmtId="2" fontId="1" fillId="3" borderId="0" xfId="0" applyNumberFormat="1" applyFont="1" applyFill="1" applyBorder="1" applyAlignment="1">
      <alignment horizontal="center"/>
    </xf>
    <xf numFmtId="0" fontId="0" fillId="8" borderId="0" xfId="0" applyFill="1"/>
    <xf numFmtId="0" fontId="1" fillId="3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8491921005386"/>
          <c:y val="5.273838894759935E-2"/>
          <c:w val="0.83482944344703769"/>
          <c:h val="0.81338822953797452"/>
        </c:manualLayout>
      </c:layout>
      <c:scatterChart>
        <c:scatterStyle val="smoothMarker"/>
        <c:ser>
          <c:idx val="0"/>
          <c:order val="0"/>
          <c:tx>
            <c:strRef>
              <c:f>Model!$AE$2</c:f>
              <c:strCache>
                <c:ptCount val="1"/>
                <c:pt idx="0">
                  <c:v>VMPLX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Model!$AC$3:$AC$31</c:f>
              <c:numCache>
                <c:formatCode>0.00</c:formatCode>
                <c:ptCount val="29"/>
                <c:pt idx="0">
                  <c:v>1</c:v>
                </c:pt>
                <c:pt idx="1">
                  <c:v>4.5</c:v>
                </c:pt>
                <c:pt idx="2">
                  <c:v>8</c:v>
                </c:pt>
                <c:pt idx="3">
                  <c:v>11.5</c:v>
                </c:pt>
                <c:pt idx="4">
                  <c:v>15</c:v>
                </c:pt>
                <c:pt idx="5">
                  <c:v>18.5</c:v>
                </c:pt>
                <c:pt idx="6">
                  <c:v>22</c:v>
                </c:pt>
                <c:pt idx="7">
                  <c:v>25.5</c:v>
                </c:pt>
                <c:pt idx="8">
                  <c:v>29</c:v>
                </c:pt>
                <c:pt idx="9">
                  <c:v>32.5</c:v>
                </c:pt>
                <c:pt idx="10">
                  <c:v>36</c:v>
                </c:pt>
                <c:pt idx="11">
                  <c:v>39.5</c:v>
                </c:pt>
                <c:pt idx="12">
                  <c:v>43</c:v>
                </c:pt>
                <c:pt idx="13">
                  <c:v>46.5</c:v>
                </c:pt>
                <c:pt idx="14">
                  <c:v>50</c:v>
                </c:pt>
                <c:pt idx="15">
                  <c:v>53.5</c:v>
                </c:pt>
                <c:pt idx="16">
                  <c:v>57</c:v>
                </c:pt>
                <c:pt idx="17">
                  <c:v>60.5</c:v>
                </c:pt>
                <c:pt idx="18">
                  <c:v>64</c:v>
                </c:pt>
                <c:pt idx="19">
                  <c:v>67.5</c:v>
                </c:pt>
                <c:pt idx="20">
                  <c:v>71</c:v>
                </c:pt>
                <c:pt idx="21">
                  <c:v>74.5</c:v>
                </c:pt>
                <c:pt idx="22">
                  <c:v>78</c:v>
                </c:pt>
                <c:pt idx="23">
                  <c:v>81.5</c:v>
                </c:pt>
                <c:pt idx="24">
                  <c:v>85</c:v>
                </c:pt>
                <c:pt idx="25">
                  <c:v>88.5</c:v>
                </c:pt>
                <c:pt idx="26">
                  <c:v>92</c:v>
                </c:pt>
                <c:pt idx="27">
                  <c:v>95.5</c:v>
                </c:pt>
                <c:pt idx="28">
                  <c:v>99</c:v>
                </c:pt>
              </c:numCache>
            </c:numRef>
          </c:xVal>
          <c:yVal>
            <c:numRef>
              <c:f>Model!$AE$3:$AE$31</c:f>
              <c:numCache>
                <c:formatCode>General</c:formatCode>
                <c:ptCount val="29"/>
                <c:pt idx="0">
                  <c:v>9.1461010385465258</c:v>
                </c:pt>
                <c:pt idx="1">
                  <c:v>3.709441159469415</c:v>
                </c:pt>
                <c:pt idx="2">
                  <c:v>2.626527804403767</c:v>
                </c:pt>
                <c:pt idx="3">
                  <c:v>2.1126000736028048</c:v>
                </c:pt>
                <c:pt idx="4">
                  <c:v>1.8012800513608178</c:v>
                </c:pt>
                <c:pt idx="5">
                  <c:v>1.5883015428099663</c:v>
                </c:pt>
                <c:pt idx="6">
                  <c:v>1.4314704468406065</c:v>
                </c:pt>
                <c:pt idx="7">
                  <c:v>1.3101224435051801</c:v>
                </c:pt>
                <c:pt idx="8">
                  <c:v>1.2128223625044767</c:v>
                </c:pt>
                <c:pt idx="9">
                  <c:v>1.1326767296452025</c:v>
                </c:pt>
                <c:pt idx="10">
                  <c:v>1.0652572394602031</c:v>
                </c:pt>
                <c:pt idx="11">
                  <c:v>1.0075758217469835</c:v>
                </c:pt>
                <c:pt idx="12">
                  <c:v>0.95753558229906144</c:v>
                </c:pt>
                <c:pt idx="13">
                  <c:v>0.91361710731355861</c:v>
                </c:pt>
                <c:pt idx="14">
                  <c:v>0.87468965915462227</c:v>
                </c:pt>
                <c:pt idx="15">
                  <c:v>0.83989254338220454</c:v>
                </c:pt>
                <c:pt idx="16">
                  <c:v>0.80855781930316761</c:v>
                </c:pt>
                <c:pt idx="17">
                  <c:v>0.78015836601554733</c:v>
                </c:pt>
                <c:pt idx="18">
                  <c:v>0.75427204206814535</c:v>
                </c:pt>
                <c:pt idx="19">
                  <c:v>0.7305563686743225</c:v>
                </c:pt>
                <c:pt idx="20">
                  <c:v>0.70873027589219162</c:v>
                </c:pt>
                <c:pt idx="21">
                  <c:v>0.68856069949329124</c:v>
                </c:pt>
                <c:pt idx="22">
                  <c:v>0.66985257806586573</c:v>
                </c:pt>
                <c:pt idx="23">
                  <c:v>0.65244127771141747</c:v>
                </c:pt>
                <c:pt idx="24">
                  <c:v>0.63618677878247321</c:v>
                </c:pt>
                <c:pt idx="25">
                  <c:v>0.62096916085546494</c:v>
                </c:pt>
                <c:pt idx="26">
                  <c:v>0.60668505732853906</c:v>
                </c:pt>
                <c:pt idx="27">
                  <c:v>0.59324484328139349</c:v>
                </c:pt>
                <c:pt idx="28">
                  <c:v>0.58057038422117258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Model!$AF$2</c:f>
              <c:strCache>
                <c:ptCount val="1"/>
                <c:pt idx="0">
                  <c:v>VMPLY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Model!$AC$3:$AC$31</c:f>
              <c:numCache>
                <c:formatCode>0.00</c:formatCode>
                <c:ptCount val="29"/>
                <c:pt idx="0">
                  <c:v>1</c:v>
                </c:pt>
                <c:pt idx="1">
                  <c:v>4.5</c:v>
                </c:pt>
                <c:pt idx="2">
                  <c:v>8</c:v>
                </c:pt>
                <c:pt idx="3">
                  <c:v>11.5</c:v>
                </c:pt>
                <c:pt idx="4">
                  <c:v>15</c:v>
                </c:pt>
                <c:pt idx="5">
                  <c:v>18.5</c:v>
                </c:pt>
                <c:pt idx="6">
                  <c:v>22</c:v>
                </c:pt>
                <c:pt idx="7">
                  <c:v>25.5</c:v>
                </c:pt>
                <c:pt idx="8">
                  <c:v>29</c:v>
                </c:pt>
                <c:pt idx="9">
                  <c:v>32.5</c:v>
                </c:pt>
                <c:pt idx="10">
                  <c:v>36</c:v>
                </c:pt>
                <c:pt idx="11">
                  <c:v>39.5</c:v>
                </c:pt>
                <c:pt idx="12">
                  <c:v>43</c:v>
                </c:pt>
                <c:pt idx="13">
                  <c:v>46.5</c:v>
                </c:pt>
                <c:pt idx="14">
                  <c:v>50</c:v>
                </c:pt>
                <c:pt idx="15">
                  <c:v>53.5</c:v>
                </c:pt>
                <c:pt idx="16">
                  <c:v>57</c:v>
                </c:pt>
                <c:pt idx="17">
                  <c:v>60.5</c:v>
                </c:pt>
                <c:pt idx="18">
                  <c:v>64</c:v>
                </c:pt>
                <c:pt idx="19">
                  <c:v>67.5</c:v>
                </c:pt>
                <c:pt idx="20">
                  <c:v>71</c:v>
                </c:pt>
                <c:pt idx="21">
                  <c:v>74.5</c:v>
                </c:pt>
                <c:pt idx="22">
                  <c:v>78</c:v>
                </c:pt>
                <c:pt idx="23">
                  <c:v>81.5</c:v>
                </c:pt>
                <c:pt idx="24">
                  <c:v>85</c:v>
                </c:pt>
                <c:pt idx="25">
                  <c:v>88.5</c:v>
                </c:pt>
                <c:pt idx="26">
                  <c:v>92</c:v>
                </c:pt>
                <c:pt idx="27">
                  <c:v>95.5</c:v>
                </c:pt>
                <c:pt idx="28">
                  <c:v>99</c:v>
                </c:pt>
              </c:numCache>
            </c:numRef>
          </c:xVal>
          <c:yVal>
            <c:numRef>
              <c:f>Model!$AF$3:$AF$31</c:f>
              <c:numCache>
                <c:formatCode>General</c:formatCode>
                <c:ptCount val="29"/>
                <c:pt idx="0">
                  <c:v>0.81847689162058235</c:v>
                </c:pt>
                <c:pt idx="1">
                  <c:v>0.83034610253186469</c:v>
                </c:pt>
                <c:pt idx="2">
                  <c:v>0.84284044788761658</c:v>
                </c:pt>
                <c:pt idx="3">
                  <c:v>0.85601858132834263</c:v>
                </c:pt>
                <c:pt idx="4">
                  <c:v>0.86994727057280374</c:v>
                </c:pt>
                <c:pt idx="5">
                  <c:v>0.8847029118027826</c:v>
                </c:pt>
                <c:pt idx="6">
                  <c:v>0.9003734063247073</c:v>
                </c:pt>
                <c:pt idx="7">
                  <c:v>0.91706050699524955</c:v>
                </c:pt>
                <c:pt idx="8">
                  <c:v>0.93488278056940854</c:v>
                </c:pt>
                <c:pt idx="9">
                  <c:v>0.95397938740350363</c:v>
                </c:pt>
                <c:pt idx="10">
                  <c:v>0.97451496022904749</c:v>
                </c:pt>
                <c:pt idx="11">
                  <c:v>0.99668598239300799</c:v>
                </c:pt>
                <c:pt idx="12">
                  <c:v>1.0207292448291376</c:v>
                </c:pt>
                <c:pt idx="13">
                  <c:v>1.0469332364460504</c:v>
                </c:pt>
                <c:pt idx="14">
                  <c:v>1.0756537569325701</c:v>
                </c:pt>
                <c:pt idx="15">
                  <c:v>1.107335744364409</c:v>
                </c:pt>
                <c:pt idx="16">
                  <c:v>1.1425444839037633</c:v>
                </c:pt>
                <c:pt idx="17">
                  <c:v>1.1820113911568553</c:v>
                </c:pt>
                <c:pt idx="18">
                  <c:v>1.2267032046963888</c:v>
                </c:pt>
                <c:pt idx="19">
                  <c:v>1.2779302655312146</c:v>
                </c:pt>
                <c:pt idx="20">
                  <c:v>1.3375231297295693</c:v>
                </c:pt>
                <c:pt idx="21">
                  <c:v>1.4081354368059076</c:v>
                </c:pt>
                <c:pt idx="22">
                  <c:v>1.4937964665766568</c:v>
                </c:pt>
                <c:pt idx="23">
                  <c:v>1.6010017579638878</c:v>
                </c:pt>
                <c:pt idx="24">
                  <c:v>1.7411011265922487</c:v>
                </c:pt>
                <c:pt idx="25">
                  <c:v>1.9363388720269388</c:v>
                </c:pt>
                <c:pt idx="26">
                  <c:v>2.2388474634702153</c:v>
                </c:pt>
                <c:pt idx="27">
                  <c:v>2.8182239066086661</c:v>
                </c:pt>
                <c:pt idx="28">
                  <c:v>5.143520796755042</c:v>
                </c:pt>
              </c:numCache>
            </c:numRef>
          </c:yVal>
          <c:smooth val="1"/>
        </c:ser>
        <c:ser>
          <c:idx val="2"/>
          <c:order val="2"/>
          <c:tx>
            <c:v>Vertical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Model!$AK$3:$AK$4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Model!$AL$3:$AL$4</c:f>
              <c:numCache>
                <c:formatCode>General</c:formatCode>
                <c:ptCount val="2"/>
                <c:pt idx="0">
                  <c:v>0</c:v>
                </c:pt>
                <c:pt idx="1">
                  <c:v>3</c:v>
                </c:pt>
              </c:numCache>
            </c:numRef>
          </c:yVal>
          <c:smooth val="1"/>
        </c:ser>
        <c:ser>
          <c:idx val="3"/>
          <c:order val="3"/>
          <c:tx>
            <c:v>wage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Model!$AG$3:$AG$4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100</c:v>
                </c:pt>
              </c:numCache>
            </c:numRef>
          </c:xVal>
          <c:yVal>
            <c:numRef>
              <c:f>Model!$AH$3:$AH$4</c:f>
              <c:numCache>
                <c:formatCode>0.00</c:formatCode>
                <c:ptCount val="2"/>
                <c:pt idx="0">
                  <c:v>0.99999999999988576</c:v>
                </c:pt>
                <c:pt idx="1">
                  <c:v>0.99999999999988576</c:v>
                </c:pt>
              </c:numCache>
            </c:numRef>
          </c:yVal>
          <c:smooth val="1"/>
        </c:ser>
        <c:ser>
          <c:idx val="4"/>
          <c:order val="4"/>
          <c:tx>
            <c:v>allocation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Model!$AI$3:$AI$4</c:f>
              <c:numCache>
                <c:formatCode>0.00</c:formatCode>
                <c:ptCount val="2"/>
                <c:pt idx="0">
                  <c:v>39.999999999942197</c:v>
                </c:pt>
                <c:pt idx="1">
                  <c:v>39.999999999942197</c:v>
                </c:pt>
              </c:numCache>
            </c:numRef>
          </c:xVal>
          <c:yVal>
            <c:numRef>
              <c:f>Model!$AJ$3:$AJ$4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0.99999999999988576</c:v>
                </c:pt>
              </c:numCache>
            </c:numRef>
          </c:yVal>
          <c:smooth val="1"/>
        </c:ser>
        <c:axId val="107599744"/>
        <c:axId val="107601920"/>
      </c:scatterChart>
      <c:valAx>
        <c:axId val="107599744"/>
        <c:scaling>
          <c:orientation val="minMax"/>
          <c:max val="100"/>
        </c:scaling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Labor Employed in X</a:t>
                </a:r>
              </a:p>
            </c:rich>
          </c:tx>
          <c:layout>
            <c:manualLayout>
              <c:xMode val="edge"/>
              <c:yMode val="edge"/>
              <c:x val="0.43087971274685816"/>
              <c:y val="0.92697853944727493"/>
            </c:manualLayout>
          </c:layout>
          <c:spPr>
            <a:noFill/>
            <a:ln w="25400">
              <a:noFill/>
            </a:ln>
          </c:spPr>
        </c:title>
        <c:numFmt formatCode="0" sourceLinked="0"/>
        <c:maj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7601920"/>
        <c:crosses val="autoZero"/>
        <c:crossBetween val="midCat"/>
      </c:valAx>
      <c:valAx>
        <c:axId val="107601920"/>
        <c:scaling>
          <c:orientation val="minMax"/>
          <c:max val="3"/>
        </c:scaling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Wage</a:t>
                </a:r>
              </a:p>
            </c:rich>
          </c:tx>
          <c:layout>
            <c:manualLayout>
              <c:xMode val="edge"/>
              <c:yMode val="edge"/>
              <c:x val="1.679205718674753E-2"/>
              <c:y val="0.42658808622553013"/>
            </c:manualLayout>
          </c:layout>
          <c:spPr>
            <a:noFill/>
            <a:ln w="25400">
              <a:noFill/>
            </a:ln>
          </c:spPr>
        </c:title>
        <c:numFmt formatCode="0.0" sourceLinked="0"/>
        <c:maj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759974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</c:legend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0728367510210957"/>
          <c:y val="7.9263560224733187E-2"/>
          <c:w val="0.82652761987639245"/>
          <c:h val="0.78904759915620626"/>
        </c:manualLayout>
      </c:layout>
      <c:scatterChart>
        <c:scatterStyle val="smoothMarker"/>
        <c:ser>
          <c:idx val="0"/>
          <c:order val="0"/>
          <c:tx>
            <c:v>Constraint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Model!$AN$3:$AO$3</c:f>
              <c:numCache>
                <c:formatCode>General</c:formatCode>
                <c:ptCount val="2"/>
                <c:pt idx="0" formatCode="0.00">
                  <c:v>-100</c:v>
                </c:pt>
                <c:pt idx="1">
                  <c:v>0</c:v>
                </c:pt>
              </c:numCache>
            </c:numRef>
          </c:xVal>
          <c:yVal>
            <c:numRef>
              <c:f>Model!$AN$4:$AO$4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-100</c:v>
                </c:pt>
              </c:numCache>
            </c:numRef>
          </c:yVal>
          <c:smooth val="1"/>
        </c:ser>
        <c:ser>
          <c:idx val="1"/>
          <c:order val="1"/>
          <c:tx>
            <c:v>TPX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Model!$AX$3:$AX$33</c:f>
              <c:numCache>
                <c:formatCode>General</c:formatCode>
                <c:ptCount val="31"/>
                <c:pt idx="0">
                  <c:v>0</c:v>
                </c:pt>
                <c:pt idx="1">
                  <c:v>22.865252596366314</c:v>
                </c:pt>
                <c:pt idx="2">
                  <c:v>41.731213044030923</c:v>
                </c:pt>
                <c:pt idx="3">
                  <c:v>52.530556088075343</c:v>
                </c:pt>
                <c:pt idx="4">
                  <c:v>60.737252116080626</c:v>
                </c:pt>
                <c:pt idx="5">
                  <c:v>67.548001926030665</c:v>
                </c:pt>
                <c:pt idx="6">
                  <c:v>73.458946354960929</c:v>
                </c:pt>
                <c:pt idx="7">
                  <c:v>78.73087457623339</c:v>
                </c:pt>
                <c:pt idx="8">
                  <c:v>83.520305773455235</c:v>
                </c:pt>
                <c:pt idx="9">
                  <c:v>87.929621281574569</c:v>
                </c:pt>
                <c:pt idx="10">
                  <c:v>92.029984283672704</c:v>
                </c:pt>
                <c:pt idx="11">
                  <c:v>95.873151551418275</c:v>
                </c:pt>
                <c:pt idx="12">
                  <c:v>99.498112397514575</c:v>
                </c:pt>
                <c:pt idx="13">
                  <c:v>102.93507509714911</c:v>
                </c:pt>
                <c:pt idx="14">
                  <c:v>106.20798872520115</c:v>
                </c:pt>
                <c:pt idx="15">
                  <c:v>109.33620739432781</c:v>
                </c:pt>
                <c:pt idx="16">
                  <c:v>112.33562767736987</c:v>
                </c:pt>
                <c:pt idx="17">
                  <c:v>115.21948925070137</c:v>
                </c:pt>
                <c:pt idx="18">
                  <c:v>117.99895285985154</c:v>
                </c:pt>
                <c:pt idx="19">
                  <c:v>120.68352673090324</c:v>
                </c:pt>
                <c:pt idx="20">
                  <c:v>123.28138721379194</c:v>
                </c:pt>
                <c:pt idx="21">
                  <c:v>125.799623970864</c:v>
                </c:pt>
                <c:pt idx="22">
                  <c:v>128.24443028062552</c:v>
                </c:pt>
                <c:pt idx="23">
                  <c:v>130.62125272284385</c:v>
                </c:pt>
                <c:pt idx="24">
                  <c:v>132.93491033370134</c:v>
                </c:pt>
                <c:pt idx="25">
                  <c:v>135.18969049127563</c:v>
                </c:pt>
                <c:pt idx="26">
                  <c:v>137.38942683927155</c:v>
                </c:pt>
                <c:pt idx="27">
                  <c:v>139.53756318556401</c:v>
                </c:pt>
                <c:pt idx="28">
                  <c:v>141.63720633343269</c:v>
                </c:pt>
                <c:pt idx="29">
                  <c:v>143.69117009474022</c:v>
                </c:pt>
                <c:pt idx="30">
                  <c:v>144.26999059072139</c:v>
                </c:pt>
              </c:numCache>
            </c:numRef>
          </c:xVal>
          <c:yVal>
            <c:numRef>
              <c:f>Model!$AV$3:$AV$33</c:f>
              <c:numCache>
                <c:formatCode>0.00</c:formatCode>
                <c:ptCount val="31"/>
                <c:pt idx="0" formatCode="General">
                  <c:v>0</c:v>
                </c:pt>
                <c:pt idx="1">
                  <c:v>-1</c:v>
                </c:pt>
                <c:pt idx="2">
                  <c:v>-4.5</c:v>
                </c:pt>
                <c:pt idx="3">
                  <c:v>-8</c:v>
                </c:pt>
                <c:pt idx="4">
                  <c:v>-11.5</c:v>
                </c:pt>
                <c:pt idx="5">
                  <c:v>-15</c:v>
                </c:pt>
                <c:pt idx="6">
                  <c:v>-18.5</c:v>
                </c:pt>
                <c:pt idx="7">
                  <c:v>-22</c:v>
                </c:pt>
                <c:pt idx="8">
                  <c:v>-25.5</c:v>
                </c:pt>
                <c:pt idx="9">
                  <c:v>-29</c:v>
                </c:pt>
                <c:pt idx="10">
                  <c:v>-32.5</c:v>
                </c:pt>
                <c:pt idx="11">
                  <c:v>-36</c:v>
                </c:pt>
                <c:pt idx="12">
                  <c:v>-39.5</c:v>
                </c:pt>
                <c:pt idx="13">
                  <c:v>-43</c:v>
                </c:pt>
                <c:pt idx="14">
                  <c:v>-46.5</c:v>
                </c:pt>
                <c:pt idx="15">
                  <c:v>-50</c:v>
                </c:pt>
                <c:pt idx="16">
                  <c:v>-53.5</c:v>
                </c:pt>
                <c:pt idx="17">
                  <c:v>-57</c:v>
                </c:pt>
                <c:pt idx="18">
                  <c:v>-60.5</c:v>
                </c:pt>
                <c:pt idx="19">
                  <c:v>-64</c:v>
                </c:pt>
                <c:pt idx="20">
                  <c:v>-67.5</c:v>
                </c:pt>
                <c:pt idx="21">
                  <c:v>-71</c:v>
                </c:pt>
                <c:pt idx="22">
                  <c:v>-74.5</c:v>
                </c:pt>
                <c:pt idx="23">
                  <c:v>-78</c:v>
                </c:pt>
                <c:pt idx="24">
                  <c:v>-81.5</c:v>
                </c:pt>
                <c:pt idx="25">
                  <c:v>-85</c:v>
                </c:pt>
                <c:pt idx="26">
                  <c:v>-88.5</c:v>
                </c:pt>
                <c:pt idx="27">
                  <c:v>-92</c:v>
                </c:pt>
                <c:pt idx="28">
                  <c:v>-95.5</c:v>
                </c:pt>
                <c:pt idx="29">
                  <c:v>-99</c:v>
                </c:pt>
                <c:pt idx="30">
                  <c:v>-100</c:v>
                </c:pt>
              </c:numCache>
            </c:numRef>
          </c:yVal>
          <c:smooth val="1"/>
        </c:ser>
        <c:ser>
          <c:idx val="2"/>
          <c:order val="2"/>
          <c:tx>
            <c:v>TPY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Model!$AW$3:$AW$33</c:f>
              <c:numCache>
                <c:formatCode>0.00</c:formatCode>
                <c:ptCount val="31"/>
                <c:pt idx="0" formatCode="General">
                  <c:v>0</c:v>
                </c:pt>
                <c:pt idx="1">
                  <c:v>-1</c:v>
                </c:pt>
                <c:pt idx="2">
                  <c:v>-4.5</c:v>
                </c:pt>
                <c:pt idx="3">
                  <c:v>-8</c:v>
                </c:pt>
                <c:pt idx="4">
                  <c:v>-11.5</c:v>
                </c:pt>
                <c:pt idx="5">
                  <c:v>-15</c:v>
                </c:pt>
                <c:pt idx="6">
                  <c:v>-18.5</c:v>
                </c:pt>
                <c:pt idx="7">
                  <c:v>-22</c:v>
                </c:pt>
                <c:pt idx="8">
                  <c:v>-25.5</c:v>
                </c:pt>
                <c:pt idx="9">
                  <c:v>-29</c:v>
                </c:pt>
                <c:pt idx="10">
                  <c:v>-32.5</c:v>
                </c:pt>
                <c:pt idx="11">
                  <c:v>-36</c:v>
                </c:pt>
                <c:pt idx="12">
                  <c:v>-39.5</c:v>
                </c:pt>
                <c:pt idx="13">
                  <c:v>-43</c:v>
                </c:pt>
                <c:pt idx="14">
                  <c:v>-46.5</c:v>
                </c:pt>
                <c:pt idx="15">
                  <c:v>-50</c:v>
                </c:pt>
                <c:pt idx="16">
                  <c:v>-53.5</c:v>
                </c:pt>
                <c:pt idx="17">
                  <c:v>-57</c:v>
                </c:pt>
                <c:pt idx="18">
                  <c:v>-60.5</c:v>
                </c:pt>
                <c:pt idx="19">
                  <c:v>-64</c:v>
                </c:pt>
                <c:pt idx="20">
                  <c:v>-67.5</c:v>
                </c:pt>
                <c:pt idx="21">
                  <c:v>-71</c:v>
                </c:pt>
                <c:pt idx="22">
                  <c:v>-74.5</c:v>
                </c:pt>
                <c:pt idx="23">
                  <c:v>-78</c:v>
                </c:pt>
                <c:pt idx="24">
                  <c:v>-81.5</c:v>
                </c:pt>
                <c:pt idx="25">
                  <c:v>-85</c:v>
                </c:pt>
                <c:pt idx="26">
                  <c:v>-88.5</c:v>
                </c:pt>
                <c:pt idx="27">
                  <c:v>-92</c:v>
                </c:pt>
                <c:pt idx="28">
                  <c:v>-95.5</c:v>
                </c:pt>
                <c:pt idx="29">
                  <c:v>-99</c:v>
                </c:pt>
                <c:pt idx="30">
                  <c:v>-100</c:v>
                </c:pt>
              </c:numCache>
            </c:numRef>
          </c:xVal>
          <c:yVal>
            <c:numRef>
              <c:f>Model!$AY$3:$AY$33</c:f>
              <c:numCache>
                <c:formatCode>General</c:formatCode>
                <c:ptCount val="31"/>
                <c:pt idx="0">
                  <c:v>0</c:v>
                </c:pt>
                <c:pt idx="1">
                  <c:v>8.5725346612584037</c:v>
                </c:pt>
                <c:pt idx="2">
                  <c:v>21.136679299564999</c:v>
                </c:pt>
                <c:pt idx="3">
                  <c:v>29.851299512936208</c:v>
                </c:pt>
                <c:pt idx="4">
                  <c:v>37.113161713849664</c:v>
                </c:pt>
                <c:pt idx="5">
                  <c:v>43.52752816480622</c:v>
                </c:pt>
                <c:pt idx="6">
                  <c:v>49.364220870553197</c:v>
                </c:pt>
                <c:pt idx="7">
                  <c:v>54.772537107810763</c:v>
                </c:pt>
                <c:pt idx="8">
                  <c:v>59.845756064251077</c:v>
                </c:pt>
                <c:pt idx="9">
                  <c:v>64.646951270262534</c:v>
                </c:pt>
                <c:pt idx="10">
                  <c:v>69.221222716274127</c:v>
                </c:pt>
                <c:pt idx="11">
                  <c:v>73.602192281783331</c:v>
                </c:pt>
                <c:pt idx="12">
                  <c:v>77.815749917826295</c:v>
                </c:pt>
                <c:pt idx="13">
                  <c:v>81.882354679769719</c:v>
                </c:pt>
                <c:pt idx="14">
                  <c:v>85.818520188241664</c:v>
                </c:pt>
                <c:pt idx="15">
                  <c:v>89.637813077714199</c:v>
                </c:pt>
                <c:pt idx="16">
                  <c:v>93.351546916439531</c:v>
                </c:pt>
                <c:pt idx="17">
                  <c:v>96.969278258768071</c:v>
                </c:pt>
                <c:pt idx="18">
                  <c:v>100.49916989129497</c:v>
                </c:pt>
                <c:pt idx="19">
                  <c:v>103.94826242443173</c:v>
                </c:pt>
                <c:pt idx="20">
                  <c:v>107.32268108289418</c:v>
                </c:pt>
                <c:pt idx="21">
                  <c:v>110.62779570071336</c:v>
                </c:pt>
                <c:pt idx="22">
                  <c:v>113.8683462852435</c:v>
                </c:pt>
                <c:pt idx="23">
                  <c:v>117.04854282221199</c:v>
                </c:pt>
                <c:pt idx="24">
                  <c:v>120.17214551987797</c:v>
                </c:pt>
                <c:pt idx="25">
                  <c:v>123.24252999781395</c:v>
                </c:pt>
                <c:pt idx="26">
                  <c:v>126.2627407459305</c:v>
                </c:pt>
                <c:pt idx="27">
                  <c:v>129.23553534276789</c:v>
                </c:pt>
                <c:pt idx="28">
                  <c:v>132.16342131965513</c:v>
                </c:pt>
                <c:pt idx="29">
                  <c:v>135.0486871173961</c:v>
                </c:pt>
                <c:pt idx="30">
                  <c:v>135.86551826765384</c:v>
                </c:pt>
              </c:numCache>
            </c:numRef>
          </c:yVal>
          <c:smooth val="1"/>
        </c:ser>
        <c:ser>
          <c:idx val="3"/>
          <c:order val="3"/>
          <c:tx>
            <c:v>PPF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Model!$AX$3:$AX$33</c:f>
              <c:numCache>
                <c:formatCode>General</c:formatCode>
                <c:ptCount val="31"/>
                <c:pt idx="0">
                  <c:v>0</c:v>
                </c:pt>
                <c:pt idx="1">
                  <c:v>22.865252596366314</c:v>
                </c:pt>
                <c:pt idx="2">
                  <c:v>41.731213044030923</c:v>
                </c:pt>
                <c:pt idx="3">
                  <c:v>52.530556088075343</c:v>
                </c:pt>
                <c:pt idx="4">
                  <c:v>60.737252116080626</c:v>
                </c:pt>
                <c:pt idx="5">
                  <c:v>67.548001926030665</c:v>
                </c:pt>
                <c:pt idx="6">
                  <c:v>73.458946354960929</c:v>
                </c:pt>
                <c:pt idx="7">
                  <c:v>78.73087457623339</c:v>
                </c:pt>
                <c:pt idx="8">
                  <c:v>83.520305773455235</c:v>
                </c:pt>
                <c:pt idx="9">
                  <c:v>87.929621281574569</c:v>
                </c:pt>
                <c:pt idx="10">
                  <c:v>92.029984283672704</c:v>
                </c:pt>
                <c:pt idx="11">
                  <c:v>95.873151551418275</c:v>
                </c:pt>
                <c:pt idx="12">
                  <c:v>99.498112397514575</c:v>
                </c:pt>
                <c:pt idx="13">
                  <c:v>102.93507509714911</c:v>
                </c:pt>
                <c:pt idx="14">
                  <c:v>106.20798872520115</c:v>
                </c:pt>
                <c:pt idx="15">
                  <c:v>109.33620739432781</c:v>
                </c:pt>
                <c:pt idx="16">
                  <c:v>112.33562767736987</c:v>
                </c:pt>
                <c:pt idx="17">
                  <c:v>115.21948925070137</c:v>
                </c:pt>
                <c:pt idx="18">
                  <c:v>117.99895285985154</c:v>
                </c:pt>
                <c:pt idx="19">
                  <c:v>120.68352673090324</c:v>
                </c:pt>
                <c:pt idx="20">
                  <c:v>123.28138721379194</c:v>
                </c:pt>
                <c:pt idx="21">
                  <c:v>125.799623970864</c:v>
                </c:pt>
                <c:pt idx="22">
                  <c:v>128.24443028062552</c:v>
                </c:pt>
                <c:pt idx="23">
                  <c:v>130.62125272284385</c:v>
                </c:pt>
                <c:pt idx="24">
                  <c:v>132.93491033370134</c:v>
                </c:pt>
                <c:pt idx="25">
                  <c:v>135.18969049127563</c:v>
                </c:pt>
                <c:pt idx="26">
                  <c:v>137.38942683927155</c:v>
                </c:pt>
                <c:pt idx="27">
                  <c:v>139.53756318556401</c:v>
                </c:pt>
                <c:pt idx="28">
                  <c:v>141.63720633343269</c:v>
                </c:pt>
                <c:pt idx="29">
                  <c:v>143.69117009474022</c:v>
                </c:pt>
                <c:pt idx="30">
                  <c:v>144.26999059072139</c:v>
                </c:pt>
              </c:numCache>
            </c:numRef>
          </c:xVal>
          <c:yVal>
            <c:numRef>
              <c:f>Model!$AZ$3:$AZ$33</c:f>
              <c:numCache>
                <c:formatCode>General</c:formatCode>
                <c:ptCount val="31"/>
                <c:pt idx="0">
                  <c:v>135.86551826765384</c:v>
                </c:pt>
                <c:pt idx="1">
                  <c:v>135.0486871173961</c:v>
                </c:pt>
                <c:pt idx="2">
                  <c:v>132.16342131965513</c:v>
                </c:pt>
                <c:pt idx="3">
                  <c:v>129.23553534276789</c:v>
                </c:pt>
                <c:pt idx="4">
                  <c:v>126.2627407459305</c:v>
                </c:pt>
                <c:pt idx="5">
                  <c:v>123.24252999781395</c:v>
                </c:pt>
                <c:pt idx="6">
                  <c:v>120.17214551987797</c:v>
                </c:pt>
                <c:pt idx="7">
                  <c:v>117.04854282221199</c:v>
                </c:pt>
                <c:pt idx="8">
                  <c:v>113.8683462852435</c:v>
                </c:pt>
                <c:pt idx="9">
                  <c:v>110.62779570071336</c:v>
                </c:pt>
                <c:pt idx="10">
                  <c:v>107.32268108289418</c:v>
                </c:pt>
                <c:pt idx="11">
                  <c:v>103.94826242443173</c:v>
                </c:pt>
                <c:pt idx="12">
                  <c:v>100.49916989129497</c:v>
                </c:pt>
                <c:pt idx="13">
                  <c:v>96.969278258768071</c:v>
                </c:pt>
                <c:pt idx="14">
                  <c:v>93.351546916439531</c:v>
                </c:pt>
                <c:pt idx="15">
                  <c:v>89.637813077714199</c:v>
                </c:pt>
                <c:pt idx="16">
                  <c:v>85.818520188241664</c:v>
                </c:pt>
                <c:pt idx="17">
                  <c:v>81.882354679769719</c:v>
                </c:pt>
                <c:pt idx="18">
                  <c:v>77.815749917826295</c:v>
                </c:pt>
                <c:pt idx="19">
                  <c:v>73.602192281783331</c:v>
                </c:pt>
                <c:pt idx="20">
                  <c:v>69.221222716274127</c:v>
                </c:pt>
                <c:pt idx="21">
                  <c:v>64.646951270262534</c:v>
                </c:pt>
                <c:pt idx="22">
                  <c:v>59.845756064251077</c:v>
                </c:pt>
                <c:pt idx="23">
                  <c:v>54.772537107810763</c:v>
                </c:pt>
                <c:pt idx="24">
                  <c:v>49.364220870553197</c:v>
                </c:pt>
                <c:pt idx="25">
                  <c:v>43.52752816480622</c:v>
                </c:pt>
                <c:pt idx="26">
                  <c:v>37.113161713849664</c:v>
                </c:pt>
                <c:pt idx="27">
                  <c:v>29.851299512936208</c:v>
                </c:pt>
                <c:pt idx="28">
                  <c:v>21.136679299564999</c:v>
                </c:pt>
                <c:pt idx="29">
                  <c:v>8.5725346612584037</c:v>
                </c:pt>
                <c:pt idx="30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v>LX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xVal>
            <c:numRef>
              <c:f>Model!$AP$3:$AP$7</c:f>
              <c:numCache>
                <c:formatCode>0.00</c:formatCode>
                <c:ptCount val="5"/>
                <c:pt idx="0">
                  <c:v>99.99999999988782</c:v>
                </c:pt>
                <c:pt idx="1">
                  <c:v>-60.000000000057803</c:v>
                </c:pt>
                <c:pt idx="2">
                  <c:v>-60.000000000057803</c:v>
                </c:pt>
                <c:pt idx="3">
                  <c:v>99.99999999988782</c:v>
                </c:pt>
                <c:pt idx="4">
                  <c:v>99.99999999988782</c:v>
                </c:pt>
              </c:numCache>
            </c:numRef>
          </c:xVal>
          <c:yVal>
            <c:numRef>
              <c:f>Model!$AQ$3:$AQ$7</c:f>
              <c:numCache>
                <c:formatCode>0.00</c:formatCode>
                <c:ptCount val="5"/>
                <c:pt idx="0">
                  <c:v>-39.999999999942197</c:v>
                </c:pt>
                <c:pt idx="1">
                  <c:v>-39.999999999942197</c:v>
                </c:pt>
                <c:pt idx="2">
                  <c:v>100.00000000003355</c:v>
                </c:pt>
                <c:pt idx="3">
                  <c:v>100.00000000003355</c:v>
                </c:pt>
                <c:pt idx="4">
                  <c:v>-39.999999999942197</c:v>
                </c:pt>
              </c:numCache>
            </c:numRef>
          </c:yVal>
        </c:ser>
        <c:ser>
          <c:idx val="5"/>
          <c:order val="5"/>
          <c:tx>
            <c:v>Budget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Model!$AR$3:$AR$4</c:f>
              <c:numCache>
                <c:formatCode>0.00</c:formatCode>
                <c:ptCount val="2"/>
                <c:pt idx="0">
                  <c:v>0</c:v>
                </c:pt>
                <c:pt idx="1">
                  <c:v>199.99999999992136</c:v>
                </c:pt>
              </c:numCache>
            </c:numRef>
          </c:xVal>
          <c:yVal>
            <c:numRef>
              <c:f>Model!$AS$3:$AS$4</c:f>
              <c:numCache>
                <c:formatCode>0.00</c:formatCode>
                <c:ptCount val="2"/>
                <c:pt idx="0">
                  <c:v>199.99999999992136</c:v>
                </c:pt>
                <c:pt idx="1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v>Utility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xVal>
            <c:numRef>
              <c:f>Model!$AT$3:$AT$33</c:f>
              <c:numCache>
                <c:formatCode>0.00</c:formatCode>
                <c:ptCount val="31"/>
                <c:pt idx="0">
                  <c:v>1</c:v>
                </c:pt>
                <c:pt idx="1">
                  <c:v>7.6333333333307118</c:v>
                </c:pt>
                <c:pt idx="2">
                  <c:v>14.266666666661424</c:v>
                </c:pt>
                <c:pt idx="3">
                  <c:v>20.899999999992136</c:v>
                </c:pt>
                <c:pt idx="4">
                  <c:v>27.533333333322847</c:v>
                </c:pt>
                <c:pt idx="5">
                  <c:v>34.166666666653562</c:v>
                </c:pt>
                <c:pt idx="6">
                  <c:v>40.799999999984273</c:v>
                </c:pt>
                <c:pt idx="7">
                  <c:v>47.433333333314984</c:v>
                </c:pt>
                <c:pt idx="8">
                  <c:v>54.066666666645695</c:v>
                </c:pt>
                <c:pt idx="9">
                  <c:v>60.699999999976406</c:v>
                </c:pt>
                <c:pt idx="10">
                  <c:v>67.333333333307124</c:v>
                </c:pt>
                <c:pt idx="11">
                  <c:v>73.966666666637835</c:v>
                </c:pt>
                <c:pt idx="12">
                  <c:v>80.599999999968546</c:v>
                </c:pt>
                <c:pt idx="13">
                  <c:v>87.233333333299257</c:v>
                </c:pt>
                <c:pt idx="14">
                  <c:v>93.866666666629968</c:v>
                </c:pt>
                <c:pt idx="15">
                  <c:v>100.49999999996068</c:v>
                </c:pt>
                <c:pt idx="16">
                  <c:v>107.13333333329139</c:v>
                </c:pt>
                <c:pt idx="17">
                  <c:v>113.7666666666221</c:v>
                </c:pt>
                <c:pt idx="18">
                  <c:v>120.39999999995281</c:v>
                </c:pt>
                <c:pt idx="19">
                  <c:v>127.03333333328352</c:v>
                </c:pt>
                <c:pt idx="20">
                  <c:v>133.66666666661425</c:v>
                </c:pt>
                <c:pt idx="21">
                  <c:v>140.29999999994496</c:v>
                </c:pt>
                <c:pt idx="22">
                  <c:v>146.93333333327567</c:v>
                </c:pt>
                <c:pt idx="23">
                  <c:v>153.56666666660638</c:v>
                </c:pt>
                <c:pt idx="24">
                  <c:v>160.19999999993709</c:v>
                </c:pt>
                <c:pt idx="25">
                  <c:v>166.8333333332678</c:v>
                </c:pt>
                <c:pt idx="26">
                  <c:v>173.46666666659851</c:v>
                </c:pt>
                <c:pt idx="27">
                  <c:v>180.09999999992922</c:v>
                </c:pt>
                <c:pt idx="28">
                  <c:v>186.73333333325994</c:v>
                </c:pt>
                <c:pt idx="29">
                  <c:v>193.36666666659065</c:v>
                </c:pt>
                <c:pt idx="30" formatCode="General">
                  <c:v>199.99999999992136</c:v>
                </c:pt>
              </c:numCache>
            </c:numRef>
          </c:xVal>
          <c:yVal>
            <c:numRef>
              <c:f>Model!$AU$3:$AU$33</c:f>
              <c:numCache>
                <c:formatCode>0.00</c:formatCode>
                <c:ptCount val="31"/>
                <c:pt idx="0">
                  <c:v>9999.9999999921329</c:v>
                </c:pt>
                <c:pt idx="1">
                  <c:v>1310.04366812169</c:v>
                </c:pt>
                <c:pt idx="2">
                  <c:v>700.93457943895862</c:v>
                </c:pt>
                <c:pt idx="3">
                  <c:v>478.46889952133461</c:v>
                </c:pt>
                <c:pt idx="4">
                  <c:v>363.196125907843</c:v>
                </c:pt>
                <c:pt idx="5">
                  <c:v>292.68292682915035</c:v>
                </c:pt>
                <c:pt idx="6">
                  <c:v>245.09803921558796</c:v>
                </c:pt>
                <c:pt idx="7">
                  <c:v>210.82220660567816</c:v>
                </c:pt>
                <c:pt idx="8">
                  <c:v>184.95684340313218</c:v>
                </c:pt>
                <c:pt idx="9">
                  <c:v>164.74464579894598</c:v>
                </c:pt>
                <c:pt idx="10">
                  <c:v>148.51485148508945</c:v>
                </c:pt>
                <c:pt idx="11">
                  <c:v>135.19603424960832</c:v>
                </c:pt>
                <c:pt idx="12">
                  <c:v>124.06947890813943</c:v>
                </c:pt>
                <c:pt idx="13">
                  <c:v>114.63507833392481</c:v>
                </c:pt>
                <c:pt idx="14">
                  <c:v>106.53409090904874</c:v>
                </c:pt>
                <c:pt idx="15">
                  <c:v>99.502487562149682</c:v>
                </c:pt>
                <c:pt idx="16">
                  <c:v>93.341630367106845</c:v>
                </c:pt>
                <c:pt idx="17">
                  <c:v>87.899208907085097</c:v>
                </c:pt>
                <c:pt idx="18">
                  <c:v>83.056478405282817</c:v>
                </c:pt>
                <c:pt idx="19">
                  <c:v>78.719496195193301</c:v>
                </c:pt>
                <c:pt idx="20">
                  <c:v>74.812967581017858</c:v>
                </c:pt>
                <c:pt idx="21">
                  <c:v>71.275837491062418</c:v>
                </c:pt>
                <c:pt idx="22">
                  <c:v>68.058076225018524</c:v>
                </c:pt>
                <c:pt idx="23">
                  <c:v>65.11829824178028</c:v>
                </c:pt>
                <c:pt idx="24">
                  <c:v>62.421972534307478</c:v>
                </c:pt>
                <c:pt idx="25">
                  <c:v>59.940059940036328</c:v>
                </c:pt>
                <c:pt idx="26">
                  <c:v>57.647963105280915</c:v>
                </c:pt>
                <c:pt idx="27">
                  <c:v>55.52470849525853</c:v>
                </c:pt>
                <c:pt idx="28">
                  <c:v>53.552302748997128</c:v>
                </c:pt>
                <c:pt idx="29">
                  <c:v>51.715221513511793</c:v>
                </c:pt>
                <c:pt idx="30">
                  <c:v>49.999999999980332</c:v>
                </c:pt>
              </c:numCache>
            </c:numRef>
          </c:yVal>
          <c:smooth val="1"/>
        </c:ser>
        <c:axId val="109045632"/>
        <c:axId val="118255616"/>
      </c:scatterChart>
      <c:valAx>
        <c:axId val="109045632"/>
        <c:scaling>
          <c:orientation val="minMax"/>
          <c:max val="200"/>
        </c:scaling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&lt;- </a:t>
                </a:r>
                <a:r>
                  <a:rPr lang="en-US" b="1" baseline="0"/>
                  <a:t> Labor in Y | Quantity of X -&gt;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0.30720230633067108"/>
              <c:y val="0.95069833309375873"/>
            </c:manualLayout>
          </c:layout>
        </c:title>
        <c:numFmt formatCode="0" sourceLinked="0"/>
        <c:maj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255616"/>
        <c:crosses val="autoZero"/>
        <c:crossBetween val="midCat"/>
      </c:valAx>
      <c:valAx>
        <c:axId val="118255616"/>
        <c:scaling>
          <c:orientation val="minMax"/>
          <c:max val="200"/>
        </c:scaling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&lt;- Labor in X | Quantity</a:t>
                </a:r>
                <a:r>
                  <a:rPr lang="en-US" b="1" baseline="0"/>
                  <a:t> of Y -&gt;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2.3767601500617429E-3"/>
              <c:y val="0.34395979407239408"/>
            </c:manualLayout>
          </c:layout>
        </c:title>
        <c:numFmt formatCode="General" sourceLinked="1"/>
        <c:maj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045632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legendEntry>
        <c:idx val="4"/>
        <c:delete val="1"/>
      </c:legendEntry>
    </c:legend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10</xdr:row>
      <xdr:rowOff>123825</xdr:rowOff>
    </xdr:from>
    <xdr:to>
      <xdr:col>19</xdr:col>
      <xdr:colOff>200025</xdr:colOff>
      <xdr:row>31</xdr:row>
      <xdr:rowOff>0</xdr:rowOff>
    </xdr:to>
    <xdr:pic>
      <xdr:nvPicPr>
        <xdr:cNvPr id="14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" y="1743075"/>
          <a:ext cx="9848850" cy="3276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118382</xdr:colOff>
      <xdr:row>0</xdr:row>
      <xdr:rowOff>91168</xdr:rowOff>
    </xdr:from>
    <xdr:to>
      <xdr:col>2</xdr:col>
      <xdr:colOff>527885</xdr:colOff>
      <xdr:row>6</xdr:row>
      <xdr:rowOff>44726</xdr:rowOff>
    </xdr:to>
    <xdr:sp macro="" textlink="">
      <xdr:nvSpPr>
        <xdr:cNvPr id="3" name="Rounded Rectangle 2"/>
        <xdr:cNvSpPr/>
      </xdr:nvSpPr>
      <xdr:spPr>
        <a:xfrm>
          <a:off x="118382" y="91168"/>
          <a:ext cx="1634146" cy="93327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Optimal</a:t>
          </a:r>
          <a:r>
            <a:rPr lang="en-US" sz="1100" baseline="0"/>
            <a:t> labor use levels.</a:t>
          </a:r>
          <a:endParaRPr lang="en-US" sz="1100"/>
        </a:p>
      </xdr:txBody>
    </xdr:sp>
    <xdr:clientData/>
  </xdr:twoCellAnchor>
  <xdr:twoCellAnchor>
    <xdr:from>
      <xdr:col>0</xdr:col>
      <xdr:colOff>108857</xdr:colOff>
      <xdr:row>21</xdr:row>
      <xdr:rowOff>26367</xdr:rowOff>
    </xdr:from>
    <xdr:to>
      <xdr:col>2</xdr:col>
      <xdr:colOff>518360</xdr:colOff>
      <xdr:row>24</xdr:row>
      <xdr:rowOff>104776</xdr:rowOff>
    </xdr:to>
    <xdr:sp macro="" textlink="">
      <xdr:nvSpPr>
        <xdr:cNvPr id="4" name="Rounded Rectangle 3"/>
        <xdr:cNvSpPr/>
      </xdr:nvSpPr>
      <xdr:spPr>
        <a:xfrm>
          <a:off x="108857" y="3455367"/>
          <a:ext cx="1634146" cy="568266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World prices (change with spinners).</a:t>
          </a:r>
        </a:p>
      </xdr:txBody>
    </xdr:sp>
    <xdr:clientData/>
  </xdr:twoCellAnchor>
  <xdr:twoCellAnchor>
    <xdr:from>
      <xdr:col>10</xdr:col>
      <xdr:colOff>519339</xdr:colOff>
      <xdr:row>37</xdr:row>
      <xdr:rowOff>8618</xdr:rowOff>
    </xdr:from>
    <xdr:to>
      <xdr:col>13</xdr:col>
      <xdr:colOff>319243</xdr:colOff>
      <xdr:row>42</xdr:row>
      <xdr:rowOff>128181</xdr:rowOff>
    </xdr:to>
    <xdr:sp macro="" textlink="">
      <xdr:nvSpPr>
        <xdr:cNvPr id="8" name="Rounded Rectangle 7"/>
        <xdr:cNvSpPr/>
      </xdr:nvSpPr>
      <xdr:spPr>
        <a:xfrm>
          <a:off x="6642553" y="6050189"/>
          <a:ext cx="1636869" cy="93599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Labor</a:t>
          </a:r>
          <a:r>
            <a:rPr lang="en-US" sz="1100" baseline="0"/>
            <a:t> market diagram (shows labor allocation solution).</a:t>
          </a:r>
          <a:endParaRPr lang="en-US" sz="1100"/>
        </a:p>
      </xdr:txBody>
    </xdr:sp>
    <xdr:clientData/>
  </xdr:twoCellAnchor>
  <xdr:twoCellAnchor>
    <xdr:from>
      <xdr:col>3</xdr:col>
      <xdr:colOff>16328</xdr:colOff>
      <xdr:row>37</xdr:row>
      <xdr:rowOff>6864</xdr:rowOff>
    </xdr:from>
    <xdr:to>
      <xdr:col>5</xdr:col>
      <xdr:colOff>431275</xdr:colOff>
      <xdr:row>42</xdr:row>
      <xdr:rowOff>140631</xdr:rowOff>
    </xdr:to>
    <xdr:sp macro="" textlink="">
      <xdr:nvSpPr>
        <xdr:cNvPr id="11" name="Rounded Rectangle 10"/>
        <xdr:cNvSpPr/>
      </xdr:nvSpPr>
      <xdr:spPr>
        <a:xfrm>
          <a:off x="1853292" y="6048435"/>
          <a:ext cx="1639590" cy="950196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Factor shares. Can be changed to simulate changes in technology.</a:t>
          </a:r>
        </a:p>
      </xdr:txBody>
    </xdr:sp>
    <xdr:clientData/>
  </xdr:twoCellAnchor>
  <xdr:twoCellAnchor>
    <xdr:from>
      <xdr:col>6</xdr:col>
      <xdr:colOff>296635</xdr:colOff>
      <xdr:row>37</xdr:row>
      <xdr:rowOff>6864</xdr:rowOff>
    </xdr:from>
    <xdr:to>
      <xdr:col>9</xdr:col>
      <xdr:colOff>96539</xdr:colOff>
      <xdr:row>42</xdr:row>
      <xdr:rowOff>140631</xdr:rowOff>
    </xdr:to>
    <xdr:sp macro="" textlink="">
      <xdr:nvSpPr>
        <xdr:cNvPr id="12" name="Rounded Rectangle 11"/>
        <xdr:cNvSpPr/>
      </xdr:nvSpPr>
      <xdr:spPr>
        <a:xfrm>
          <a:off x="3970564" y="6048435"/>
          <a:ext cx="1636868" cy="950196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Consumption shares,</a:t>
          </a:r>
          <a:r>
            <a:rPr lang="en-US" sz="1100" baseline="0"/>
            <a:t> change the pattern of demand.</a:t>
          </a:r>
          <a:endParaRPr lang="en-US" sz="1100"/>
        </a:p>
      </xdr:txBody>
    </xdr:sp>
    <xdr:clientData/>
  </xdr:twoCellAnchor>
  <xdr:twoCellAnchor>
    <xdr:from>
      <xdr:col>6</xdr:col>
      <xdr:colOff>43542</xdr:colOff>
      <xdr:row>0</xdr:row>
      <xdr:rowOff>89413</xdr:rowOff>
    </xdr:from>
    <xdr:to>
      <xdr:col>8</xdr:col>
      <xdr:colOff>458489</xdr:colOff>
      <xdr:row>6</xdr:row>
      <xdr:rowOff>52185</xdr:rowOff>
    </xdr:to>
    <xdr:sp macro="" textlink="">
      <xdr:nvSpPr>
        <xdr:cNvPr id="13" name="Rounded Rectangle 12"/>
        <xdr:cNvSpPr/>
      </xdr:nvSpPr>
      <xdr:spPr>
        <a:xfrm>
          <a:off x="3717471" y="89413"/>
          <a:ext cx="1639589" cy="942486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Endowments of capital</a:t>
          </a:r>
          <a:r>
            <a:rPr lang="en-US" sz="1100" baseline="0"/>
            <a:t> and </a:t>
          </a:r>
          <a:r>
            <a:rPr lang="en-US" sz="1100"/>
            <a:t>labor.</a:t>
          </a:r>
        </a:p>
      </xdr:txBody>
    </xdr:sp>
    <xdr:clientData/>
  </xdr:twoCellAnchor>
  <xdr:twoCellAnchor>
    <xdr:from>
      <xdr:col>3</xdr:col>
      <xdr:colOff>117021</xdr:colOff>
      <xdr:row>0</xdr:row>
      <xdr:rowOff>91168</xdr:rowOff>
    </xdr:from>
    <xdr:to>
      <xdr:col>5</xdr:col>
      <xdr:colOff>526525</xdr:colOff>
      <xdr:row>6</xdr:row>
      <xdr:rowOff>44726</xdr:rowOff>
    </xdr:to>
    <xdr:sp macro="" textlink="">
      <xdr:nvSpPr>
        <xdr:cNvPr id="14" name="Rounded Rectangle 13"/>
        <xdr:cNvSpPr/>
      </xdr:nvSpPr>
      <xdr:spPr>
        <a:xfrm>
          <a:off x="1953985" y="91168"/>
          <a:ext cx="1634147" cy="93327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Optimal factor prices (wage and rentals).</a:t>
          </a:r>
        </a:p>
      </xdr:txBody>
    </xdr:sp>
    <xdr:clientData/>
  </xdr:twoCellAnchor>
  <xdr:twoCellAnchor>
    <xdr:from>
      <xdr:col>0</xdr:col>
      <xdr:colOff>118382</xdr:colOff>
      <xdr:row>7</xdr:row>
      <xdr:rowOff>9072</xdr:rowOff>
    </xdr:from>
    <xdr:to>
      <xdr:col>2</xdr:col>
      <xdr:colOff>527885</xdr:colOff>
      <xdr:row>11</xdr:row>
      <xdr:rowOff>27215</xdr:rowOff>
    </xdr:to>
    <xdr:sp macro="" textlink="">
      <xdr:nvSpPr>
        <xdr:cNvPr id="15" name="Rounded Rectangle 14"/>
        <xdr:cNvSpPr/>
      </xdr:nvSpPr>
      <xdr:spPr>
        <a:xfrm>
          <a:off x="118382" y="1152072"/>
          <a:ext cx="1634146" cy="671286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Optimal output levels</a:t>
          </a:r>
          <a:r>
            <a:rPr lang="en-US" sz="1100" baseline="0"/>
            <a:t>.</a:t>
          </a:r>
          <a:endParaRPr lang="en-US" sz="1100"/>
        </a:p>
      </xdr:txBody>
    </xdr:sp>
    <xdr:clientData/>
  </xdr:twoCellAnchor>
  <xdr:twoCellAnchor>
    <xdr:from>
      <xdr:col>0</xdr:col>
      <xdr:colOff>118382</xdr:colOff>
      <xdr:row>11</xdr:row>
      <xdr:rowOff>112486</xdr:rowOff>
    </xdr:from>
    <xdr:to>
      <xdr:col>2</xdr:col>
      <xdr:colOff>527885</xdr:colOff>
      <xdr:row>15</xdr:row>
      <xdr:rowOff>130629</xdr:rowOff>
    </xdr:to>
    <xdr:sp macro="" textlink="">
      <xdr:nvSpPr>
        <xdr:cNvPr id="16" name="Rounded Rectangle 15"/>
        <xdr:cNvSpPr/>
      </xdr:nvSpPr>
      <xdr:spPr>
        <a:xfrm>
          <a:off x="118382" y="1908629"/>
          <a:ext cx="1634146" cy="671286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Optimal consumption levels.</a:t>
          </a:r>
        </a:p>
      </xdr:txBody>
    </xdr:sp>
    <xdr:clientData/>
  </xdr:twoCellAnchor>
  <xdr:twoCellAnchor>
    <xdr:from>
      <xdr:col>0</xdr:col>
      <xdr:colOff>108857</xdr:colOff>
      <xdr:row>16</xdr:row>
      <xdr:rowOff>43543</xdr:rowOff>
    </xdr:from>
    <xdr:to>
      <xdr:col>2</xdr:col>
      <xdr:colOff>518360</xdr:colOff>
      <xdr:row>20</xdr:row>
      <xdr:rowOff>119440</xdr:rowOff>
    </xdr:to>
    <xdr:sp macro="" textlink="">
      <xdr:nvSpPr>
        <xdr:cNvPr id="17" name="Rounded Rectangle 16"/>
        <xdr:cNvSpPr/>
      </xdr:nvSpPr>
      <xdr:spPr>
        <a:xfrm>
          <a:off x="108857" y="2656114"/>
          <a:ext cx="1634146" cy="729040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Volume of trade (negative values</a:t>
          </a:r>
          <a:r>
            <a:rPr lang="en-US" sz="1100" baseline="0"/>
            <a:t> are imports).</a:t>
          </a:r>
          <a:endParaRPr lang="en-US" sz="1100"/>
        </a:p>
      </xdr:txBody>
    </xdr:sp>
    <xdr:clientData/>
  </xdr:twoCellAnchor>
  <xdr:twoCellAnchor>
    <xdr:from>
      <xdr:col>0</xdr:col>
      <xdr:colOff>118382</xdr:colOff>
      <xdr:row>25</xdr:row>
      <xdr:rowOff>36740</xdr:rowOff>
    </xdr:from>
    <xdr:to>
      <xdr:col>2</xdr:col>
      <xdr:colOff>527885</xdr:colOff>
      <xdr:row>29</xdr:row>
      <xdr:rowOff>54882</xdr:rowOff>
    </xdr:to>
    <xdr:sp macro="" textlink="">
      <xdr:nvSpPr>
        <xdr:cNvPr id="18" name="Rounded Rectangle 17"/>
        <xdr:cNvSpPr/>
      </xdr:nvSpPr>
      <xdr:spPr>
        <a:xfrm>
          <a:off x="118382" y="4118883"/>
          <a:ext cx="1634146" cy="67128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National income (GDP).</a:t>
          </a:r>
        </a:p>
      </xdr:txBody>
    </xdr:sp>
    <xdr:clientData/>
  </xdr:twoCellAnchor>
  <xdr:twoCellAnchor>
    <xdr:from>
      <xdr:col>0</xdr:col>
      <xdr:colOff>118382</xdr:colOff>
      <xdr:row>30</xdr:row>
      <xdr:rowOff>11794</xdr:rowOff>
    </xdr:from>
    <xdr:to>
      <xdr:col>2</xdr:col>
      <xdr:colOff>527885</xdr:colOff>
      <xdr:row>34</xdr:row>
      <xdr:rowOff>29937</xdr:rowOff>
    </xdr:to>
    <xdr:sp macro="" textlink="">
      <xdr:nvSpPr>
        <xdr:cNvPr id="19" name="Rounded Rectangle 18"/>
        <xdr:cNvSpPr/>
      </xdr:nvSpPr>
      <xdr:spPr>
        <a:xfrm>
          <a:off x="118382" y="4910365"/>
          <a:ext cx="1634146" cy="671286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Welfare index</a:t>
          </a:r>
          <a:r>
            <a:rPr lang="en-US" sz="1100" baseline="0"/>
            <a:t> (utility).</a:t>
          </a:r>
          <a:endParaRPr lang="en-US" sz="1100"/>
        </a:p>
      </xdr:txBody>
    </xdr:sp>
    <xdr:clientData/>
  </xdr:twoCellAnchor>
  <xdr:twoCellAnchor>
    <xdr:from>
      <xdr:col>4</xdr:col>
      <xdr:colOff>386442</xdr:colOff>
      <xdr:row>43</xdr:row>
      <xdr:rowOff>86237</xdr:rowOff>
    </xdr:from>
    <xdr:to>
      <xdr:col>7</xdr:col>
      <xdr:colOff>189068</xdr:colOff>
      <xdr:row>49</xdr:row>
      <xdr:rowOff>49009</xdr:rowOff>
    </xdr:to>
    <xdr:sp macro="" textlink="">
      <xdr:nvSpPr>
        <xdr:cNvPr id="21" name="Rounded Rectangle 20"/>
        <xdr:cNvSpPr/>
      </xdr:nvSpPr>
      <xdr:spPr>
        <a:xfrm>
          <a:off x="2835728" y="7107523"/>
          <a:ext cx="1639590" cy="942486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Productivity</a:t>
          </a:r>
          <a:r>
            <a:rPr lang="en-US" sz="1100" baseline="0"/>
            <a:t> levels, increase to simulate improvements in technology.</a:t>
          </a:r>
          <a:endParaRPr lang="en-US" sz="1100"/>
        </a:p>
      </xdr:txBody>
    </xdr:sp>
    <xdr:clientData/>
  </xdr:twoCellAnchor>
  <xdr:twoCellAnchor>
    <xdr:from>
      <xdr:col>11</xdr:col>
      <xdr:colOff>340179</xdr:colOff>
      <xdr:row>26</xdr:row>
      <xdr:rowOff>27215</xdr:rowOff>
    </xdr:from>
    <xdr:to>
      <xdr:col>12</xdr:col>
      <xdr:colOff>113132</xdr:colOff>
      <xdr:row>37</xdr:row>
      <xdr:rowOff>8618</xdr:rowOff>
    </xdr:to>
    <xdr:cxnSp macro="">
      <xdr:nvCxnSpPr>
        <xdr:cNvPr id="25" name="Straight Arrow Connector 24"/>
        <xdr:cNvCxnSpPr>
          <a:stCxn id="8" idx="0"/>
        </xdr:cNvCxnSpPr>
      </xdr:nvCxnSpPr>
      <xdr:spPr bwMode="auto">
        <a:xfrm rot="16200000" flipV="1">
          <a:off x="6379579" y="4968780"/>
          <a:ext cx="1777545" cy="385274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251017</xdr:colOff>
      <xdr:row>6</xdr:row>
      <xdr:rowOff>52184</xdr:rowOff>
    </xdr:from>
    <xdr:to>
      <xdr:col>8</xdr:col>
      <xdr:colOff>54430</xdr:colOff>
      <xdr:row>14</xdr:row>
      <xdr:rowOff>81643</xdr:rowOff>
    </xdr:to>
    <xdr:cxnSp macro="">
      <xdr:nvCxnSpPr>
        <xdr:cNvPr id="28" name="Straight Arrow Connector 27"/>
        <xdr:cNvCxnSpPr>
          <a:stCxn id="13" idx="2"/>
        </xdr:cNvCxnSpPr>
      </xdr:nvCxnSpPr>
      <xdr:spPr bwMode="auto">
        <a:xfrm rot="16200000" flipH="1">
          <a:off x="4077261" y="1491904"/>
          <a:ext cx="1335745" cy="415734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321773</xdr:colOff>
      <xdr:row>6</xdr:row>
      <xdr:rowOff>44725</xdr:rowOff>
    </xdr:from>
    <xdr:to>
      <xdr:col>6</xdr:col>
      <xdr:colOff>353785</xdr:colOff>
      <xdr:row>14</xdr:row>
      <xdr:rowOff>40822</xdr:rowOff>
    </xdr:to>
    <xdr:cxnSp macro="">
      <xdr:nvCxnSpPr>
        <xdr:cNvPr id="29" name="Straight Arrow Connector 28"/>
        <xdr:cNvCxnSpPr>
          <a:stCxn id="14" idx="2"/>
        </xdr:cNvCxnSpPr>
      </xdr:nvCxnSpPr>
      <xdr:spPr bwMode="auto">
        <a:xfrm rot="16200000" flipH="1">
          <a:off x="2748195" y="1047303"/>
          <a:ext cx="1302383" cy="1256655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527885</xdr:colOff>
      <xdr:row>9</xdr:row>
      <xdr:rowOff>18144</xdr:rowOff>
    </xdr:from>
    <xdr:to>
      <xdr:col>4</xdr:col>
      <xdr:colOff>435428</xdr:colOff>
      <xdr:row>16</xdr:row>
      <xdr:rowOff>108859</xdr:rowOff>
    </xdr:to>
    <xdr:cxnSp macro="">
      <xdr:nvCxnSpPr>
        <xdr:cNvPr id="31" name="Straight Arrow Connector 30"/>
        <xdr:cNvCxnSpPr>
          <a:stCxn id="15" idx="3"/>
        </xdr:cNvCxnSpPr>
      </xdr:nvCxnSpPr>
      <xdr:spPr bwMode="auto">
        <a:xfrm>
          <a:off x="1752528" y="1487715"/>
          <a:ext cx="1132186" cy="1233715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527885</xdr:colOff>
      <xdr:row>13</xdr:row>
      <xdr:rowOff>121558</xdr:rowOff>
    </xdr:from>
    <xdr:to>
      <xdr:col>4</xdr:col>
      <xdr:colOff>517071</xdr:colOff>
      <xdr:row>18</xdr:row>
      <xdr:rowOff>13608</xdr:rowOff>
    </xdr:to>
    <xdr:cxnSp macro="">
      <xdr:nvCxnSpPr>
        <xdr:cNvPr id="32" name="Straight Arrow Connector 31"/>
        <xdr:cNvCxnSpPr>
          <a:stCxn id="16" idx="3"/>
        </xdr:cNvCxnSpPr>
      </xdr:nvCxnSpPr>
      <xdr:spPr bwMode="auto">
        <a:xfrm>
          <a:off x="1752528" y="2244272"/>
          <a:ext cx="1213829" cy="708479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518360</xdr:colOff>
      <xdr:row>18</xdr:row>
      <xdr:rowOff>81491</xdr:rowOff>
    </xdr:from>
    <xdr:to>
      <xdr:col>4</xdr:col>
      <xdr:colOff>476250</xdr:colOff>
      <xdr:row>19</xdr:row>
      <xdr:rowOff>40822</xdr:rowOff>
    </xdr:to>
    <xdr:cxnSp macro="">
      <xdr:nvCxnSpPr>
        <xdr:cNvPr id="33" name="Straight Arrow Connector 32"/>
        <xdr:cNvCxnSpPr>
          <a:stCxn id="17" idx="3"/>
        </xdr:cNvCxnSpPr>
      </xdr:nvCxnSpPr>
      <xdr:spPr bwMode="auto">
        <a:xfrm>
          <a:off x="1743003" y="3020634"/>
          <a:ext cx="1182533" cy="122617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518360</xdr:colOff>
      <xdr:row>20</xdr:row>
      <xdr:rowOff>81644</xdr:rowOff>
    </xdr:from>
    <xdr:to>
      <xdr:col>4</xdr:col>
      <xdr:colOff>462642</xdr:colOff>
      <xdr:row>22</xdr:row>
      <xdr:rowOff>147214</xdr:rowOff>
    </xdr:to>
    <xdr:cxnSp macro="">
      <xdr:nvCxnSpPr>
        <xdr:cNvPr id="34" name="Straight Arrow Connector 33"/>
        <xdr:cNvCxnSpPr>
          <a:stCxn id="4" idx="3"/>
        </xdr:cNvCxnSpPr>
      </xdr:nvCxnSpPr>
      <xdr:spPr bwMode="auto">
        <a:xfrm flipV="1">
          <a:off x="1743003" y="3347358"/>
          <a:ext cx="1168925" cy="392142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527885</xdr:colOff>
      <xdr:row>21</xdr:row>
      <xdr:rowOff>149680</xdr:rowOff>
    </xdr:from>
    <xdr:to>
      <xdr:col>4</xdr:col>
      <xdr:colOff>449035</xdr:colOff>
      <xdr:row>27</xdr:row>
      <xdr:rowOff>45812</xdr:rowOff>
    </xdr:to>
    <xdr:cxnSp macro="">
      <xdr:nvCxnSpPr>
        <xdr:cNvPr id="35" name="Straight Arrow Connector 34"/>
        <xdr:cNvCxnSpPr>
          <a:stCxn id="18" idx="3"/>
        </xdr:cNvCxnSpPr>
      </xdr:nvCxnSpPr>
      <xdr:spPr bwMode="auto">
        <a:xfrm flipV="1">
          <a:off x="1752528" y="3578680"/>
          <a:ext cx="1145793" cy="875846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527885</xdr:colOff>
      <xdr:row>23</xdr:row>
      <xdr:rowOff>40823</xdr:rowOff>
    </xdr:from>
    <xdr:to>
      <xdr:col>4</xdr:col>
      <xdr:colOff>476250</xdr:colOff>
      <xdr:row>32</xdr:row>
      <xdr:rowOff>20865</xdr:rowOff>
    </xdr:to>
    <xdr:cxnSp macro="">
      <xdr:nvCxnSpPr>
        <xdr:cNvPr id="36" name="Straight Arrow Connector 35"/>
        <xdr:cNvCxnSpPr>
          <a:stCxn id="19" idx="3"/>
        </xdr:cNvCxnSpPr>
      </xdr:nvCxnSpPr>
      <xdr:spPr bwMode="auto">
        <a:xfrm flipV="1">
          <a:off x="1752528" y="3796394"/>
          <a:ext cx="1173008" cy="1449614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229244</xdr:colOff>
      <xdr:row>27</xdr:row>
      <xdr:rowOff>13610</xdr:rowOff>
    </xdr:from>
    <xdr:to>
      <xdr:col>5</xdr:col>
      <xdr:colOff>462645</xdr:colOff>
      <xdr:row>37</xdr:row>
      <xdr:rowOff>6867</xdr:rowOff>
    </xdr:to>
    <xdr:cxnSp macro="">
      <xdr:nvCxnSpPr>
        <xdr:cNvPr id="38" name="Straight Arrow Connector 37"/>
        <xdr:cNvCxnSpPr/>
      </xdr:nvCxnSpPr>
      <xdr:spPr bwMode="auto">
        <a:xfrm rot="5400000" flipH="1" flipV="1">
          <a:off x="2594495" y="5118680"/>
          <a:ext cx="1626114" cy="233401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593916</xdr:colOff>
      <xdr:row>28</xdr:row>
      <xdr:rowOff>81645</xdr:rowOff>
    </xdr:from>
    <xdr:to>
      <xdr:col>6</xdr:col>
      <xdr:colOff>27217</xdr:colOff>
      <xdr:row>43</xdr:row>
      <xdr:rowOff>86238</xdr:rowOff>
    </xdr:to>
    <xdr:cxnSp macro="">
      <xdr:nvCxnSpPr>
        <xdr:cNvPr id="39" name="Straight Arrow Connector 38"/>
        <xdr:cNvCxnSpPr>
          <a:stCxn id="21" idx="0"/>
        </xdr:cNvCxnSpPr>
      </xdr:nvCxnSpPr>
      <xdr:spPr bwMode="auto">
        <a:xfrm rot="5400000" flipH="1" flipV="1">
          <a:off x="2451395" y="5857773"/>
          <a:ext cx="2453879" cy="45623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204107</xdr:colOff>
      <xdr:row>29</xdr:row>
      <xdr:rowOff>68037</xdr:rowOff>
    </xdr:from>
    <xdr:to>
      <xdr:col>7</xdr:col>
      <xdr:colOff>564888</xdr:colOff>
      <xdr:row>37</xdr:row>
      <xdr:rowOff>6864</xdr:rowOff>
    </xdr:to>
    <xdr:cxnSp macro="">
      <xdr:nvCxnSpPr>
        <xdr:cNvPr id="40" name="Straight Arrow Connector 39"/>
        <xdr:cNvCxnSpPr/>
      </xdr:nvCxnSpPr>
      <xdr:spPr bwMode="auto">
        <a:xfrm rot="16200000" flipV="1">
          <a:off x="3742031" y="4939328"/>
          <a:ext cx="1245112" cy="973102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367393</xdr:colOff>
      <xdr:row>6</xdr:row>
      <xdr:rowOff>52185</xdr:rowOff>
    </xdr:from>
    <xdr:to>
      <xdr:col>7</xdr:col>
      <xdr:colOff>251016</xdr:colOff>
      <xdr:row>14</xdr:row>
      <xdr:rowOff>40823</xdr:rowOff>
    </xdr:to>
    <xdr:cxnSp macro="">
      <xdr:nvCxnSpPr>
        <xdr:cNvPr id="41" name="Straight Arrow Connector 40"/>
        <xdr:cNvCxnSpPr>
          <a:stCxn id="13" idx="2"/>
        </xdr:cNvCxnSpPr>
      </xdr:nvCxnSpPr>
      <xdr:spPr bwMode="auto">
        <a:xfrm rot="5400000">
          <a:off x="3335671" y="1125228"/>
          <a:ext cx="1294924" cy="1108266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204560</xdr:colOff>
      <xdr:row>37</xdr:row>
      <xdr:rowOff>8618</xdr:rowOff>
    </xdr:from>
    <xdr:to>
      <xdr:col>18</xdr:col>
      <xdr:colOff>1742</xdr:colOff>
      <xdr:row>42</xdr:row>
      <xdr:rowOff>128181</xdr:rowOff>
    </xdr:to>
    <xdr:sp macro="" textlink="">
      <xdr:nvSpPr>
        <xdr:cNvPr id="42" name="Rounded Rectangle 41"/>
        <xdr:cNvSpPr/>
      </xdr:nvSpPr>
      <xdr:spPr>
        <a:xfrm>
          <a:off x="9389381" y="6050189"/>
          <a:ext cx="1634147" cy="935992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Quandrant PPF diagram </a:t>
          </a:r>
          <a:r>
            <a:rPr lang="en-US" sz="1100" baseline="0"/>
            <a:t>(shows output and labor allocation).</a:t>
          </a:r>
          <a:endParaRPr lang="en-US" sz="1100"/>
        </a:p>
      </xdr:txBody>
    </xdr:sp>
    <xdr:clientData/>
  </xdr:twoCellAnchor>
  <xdr:twoCellAnchor>
    <xdr:from>
      <xdr:col>16</xdr:col>
      <xdr:colOff>409312</xdr:colOff>
      <xdr:row>26</xdr:row>
      <xdr:rowOff>149680</xdr:rowOff>
    </xdr:from>
    <xdr:to>
      <xdr:col>16</xdr:col>
      <xdr:colOff>421821</xdr:colOff>
      <xdr:row>37</xdr:row>
      <xdr:rowOff>8619</xdr:rowOff>
    </xdr:to>
    <xdr:cxnSp macro="">
      <xdr:nvCxnSpPr>
        <xdr:cNvPr id="43" name="Straight Arrow Connector 42"/>
        <xdr:cNvCxnSpPr>
          <a:stCxn id="42" idx="0"/>
        </xdr:cNvCxnSpPr>
      </xdr:nvCxnSpPr>
      <xdr:spPr bwMode="auto">
        <a:xfrm rot="5400000" flipH="1" flipV="1">
          <a:off x="9385169" y="5216395"/>
          <a:ext cx="1655081" cy="12509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517071</xdr:colOff>
      <xdr:row>6</xdr:row>
      <xdr:rowOff>0</xdr:rowOff>
    </xdr:from>
    <xdr:to>
      <xdr:col>4</xdr:col>
      <xdr:colOff>489857</xdr:colOff>
      <xdr:row>15</xdr:row>
      <xdr:rowOff>108857</xdr:rowOff>
    </xdr:to>
    <xdr:cxnSp macro="">
      <xdr:nvCxnSpPr>
        <xdr:cNvPr id="58" name="Straight Arrow Connector 57"/>
        <xdr:cNvCxnSpPr/>
      </xdr:nvCxnSpPr>
      <xdr:spPr bwMode="auto">
        <a:xfrm rot="16200000" flipH="1">
          <a:off x="1551214" y="1170214"/>
          <a:ext cx="1578429" cy="1197429"/>
        </a:xfrm>
        <a:prstGeom prst="straightConnector1">
          <a:avLst/>
        </a:prstGeom>
        <a:ln>
          <a:headEnd type="none" w="med" len="me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20</xdr:col>
      <xdr:colOff>876300</xdr:colOff>
      <xdr:row>30</xdr:row>
      <xdr:rowOff>0</xdr:rowOff>
    </xdr:to>
    <xdr:graphicFrame macro="">
      <xdr:nvGraphicFramePr>
        <xdr:cNvPr id="7243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866775</xdr:colOff>
      <xdr:row>1</xdr:row>
      <xdr:rowOff>0</xdr:rowOff>
    </xdr:from>
    <xdr:to>
      <xdr:col>26</xdr:col>
      <xdr:colOff>876300</xdr:colOff>
      <xdr:row>30</xdr:row>
      <xdr:rowOff>0</xdr:rowOff>
    </xdr:to>
    <xdr:graphicFrame macro="">
      <xdr:nvGraphicFramePr>
        <xdr:cNvPr id="7244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="70" zoomScaleNormal="70" workbookViewId="0">
      <selection activeCell="Q6" sqref="Q6"/>
    </sheetView>
  </sheetViews>
  <sheetFormatPr defaultRowHeight="12.75"/>
  <cols>
    <col min="1" max="16384" width="9.140625" style="9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G40"/>
  <sheetViews>
    <sheetView zoomScale="75" zoomScaleNormal="75" workbookViewId="0">
      <selection activeCell="M7" sqref="M7"/>
    </sheetView>
  </sheetViews>
  <sheetFormatPr defaultColWidth="0" defaultRowHeight="12.75" zeroHeight="1"/>
  <cols>
    <col min="1" max="1" width="19.85546875" style="2" customWidth="1"/>
    <col min="2" max="2" width="1.7109375" style="43" customWidth="1"/>
    <col min="3" max="3" width="9.7109375" style="2" customWidth="1"/>
    <col min="4" max="4" width="11.7109375" style="2" hidden="1" customWidth="1"/>
    <col min="5" max="5" width="9.7109375" style="2" customWidth="1"/>
    <col min="6" max="6" width="10.7109375" style="2" hidden="1" customWidth="1"/>
    <col min="7" max="7" width="1.7109375" style="2" customWidth="1"/>
    <col min="8" max="8" width="9.7109375" style="2" customWidth="1"/>
    <col min="9" max="9" width="11.7109375" style="2" hidden="1" customWidth="1"/>
    <col min="10" max="10" width="9.7109375" style="2" customWidth="1"/>
    <col min="11" max="11" width="11.5703125" style="2" hidden="1" customWidth="1"/>
    <col min="12" max="12" width="1.7109375" style="2" customWidth="1"/>
    <col min="13" max="13" width="9.7109375" style="2" customWidth="1"/>
    <col min="14" max="14" width="10.7109375" style="2" hidden="1" customWidth="1"/>
    <col min="15" max="15" width="1.85546875" style="2" customWidth="1"/>
    <col min="16" max="27" width="13.28515625" style="2" customWidth="1"/>
    <col min="28" max="28" width="13.28515625" style="2" hidden="1" customWidth="1"/>
    <col min="29" max="29" width="13.28515625" style="34" hidden="1" customWidth="1"/>
    <col min="30" max="80" width="13.28515625" style="2" hidden="1" customWidth="1"/>
    <col min="81" max="81" width="0" style="2" hidden="1" customWidth="1"/>
    <col min="82" max="83" width="8.7109375" style="2" hidden="1" customWidth="1"/>
    <col min="84" max="84" width="2.140625" style="2" hidden="1" customWidth="1"/>
    <col min="85" max="86" width="8.7109375" style="2" hidden="1" customWidth="1"/>
    <col min="87" max="87" width="2.140625" style="2" hidden="1" customWidth="1"/>
    <col min="88" max="89" width="8.7109375" style="2" hidden="1" customWidth="1"/>
    <col min="90" max="90" width="2.140625" style="2" hidden="1" customWidth="1"/>
    <col min="91" max="92" width="8.7109375" style="2" hidden="1" customWidth="1"/>
    <col min="93" max="93" width="2.140625" style="2" hidden="1" customWidth="1"/>
    <col min="94" max="98" width="8.7109375" style="2" hidden="1" customWidth="1"/>
    <col min="99" max="99" width="2.140625" style="2" hidden="1" customWidth="1"/>
    <col min="100" max="101" width="8.7109375" style="2" hidden="1" customWidth="1"/>
    <col min="102" max="102" width="2.140625" style="2" hidden="1" customWidth="1"/>
    <col min="103" max="104" width="8.7109375" style="2" hidden="1" customWidth="1"/>
    <col min="105" max="105" width="2.140625" style="2" hidden="1" customWidth="1"/>
    <col min="106" max="107" width="8.7109375" style="2" hidden="1" customWidth="1"/>
    <col min="108" max="108" width="2.140625" style="2" hidden="1" customWidth="1"/>
    <col min="109" max="113" width="8.7109375" style="2" hidden="1" customWidth="1"/>
    <col min="114" max="114" width="2.140625" style="2" hidden="1" customWidth="1"/>
    <col min="115" max="116" width="8.7109375" style="2" hidden="1" customWidth="1"/>
    <col min="117" max="117" width="2.140625" style="2" hidden="1" customWidth="1"/>
    <col min="118" max="119" width="8.7109375" style="2" hidden="1" customWidth="1"/>
    <col min="120" max="120" width="2.140625" style="2" hidden="1" customWidth="1"/>
    <col min="121" max="122" width="8.7109375" style="2" hidden="1" customWidth="1"/>
    <col min="123" max="123" width="2.140625" style="2" hidden="1" customWidth="1"/>
    <col min="124" max="125" width="8.7109375" style="2" hidden="1" customWidth="1"/>
    <col min="126" max="126" width="2.140625" style="2" hidden="1" customWidth="1"/>
    <col min="127" max="128" width="8.7109375" style="2" hidden="1" customWidth="1"/>
    <col min="129" max="129" width="2.140625" style="2" hidden="1" customWidth="1"/>
    <col min="130" max="134" width="8.7109375" style="2" hidden="1" customWidth="1"/>
    <col min="135" max="135" width="2.140625" style="2" hidden="1" customWidth="1"/>
    <col min="136" max="137" width="8.7109375" style="2" hidden="1" customWidth="1"/>
    <col min="138" max="138" width="2.140625" style="2" hidden="1" customWidth="1"/>
    <col min="139" max="140" width="8.7109375" style="2" hidden="1" customWidth="1"/>
    <col min="141" max="141" width="2.140625" style="2" hidden="1" customWidth="1"/>
    <col min="142" max="143" width="8.7109375" style="2" hidden="1" customWidth="1"/>
    <col min="144" max="144" width="2.140625" style="2" hidden="1" customWidth="1"/>
    <col min="145" max="146" width="8.7109375" style="2" hidden="1" customWidth="1"/>
    <col min="147" max="147" width="2.140625" style="2" hidden="1" customWidth="1"/>
    <col min="148" max="149" width="8.7109375" style="2" hidden="1" customWidth="1"/>
    <col min="150" max="150" width="2.140625" style="2" hidden="1" customWidth="1"/>
    <col min="151" max="153" width="8.7109375" style="2" hidden="1" customWidth="1"/>
    <col min="154" max="161" width="8.85546875" style="2" hidden="1" customWidth="1"/>
    <col min="162" max="162" width="2.140625" style="2" hidden="1" customWidth="1"/>
    <col min="163" max="164" width="8.85546875" style="2" hidden="1" customWidth="1"/>
    <col min="165" max="165" width="2.140625" style="2" hidden="1" customWidth="1"/>
    <col min="166" max="167" width="8.85546875" style="2" hidden="1" customWidth="1"/>
    <col min="168" max="168" width="2.140625" style="2" hidden="1" customWidth="1"/>
    <col min="169" max="170" width="8.85546875" style="2" hidden="1" customWidth="1"/>
    <col min="171" max="189" width="0" style="2" hidden="1" customWidth="1"/>
  </cols>
  <sheetData>
    <row r="1" spans="1:189" s="1" customFormat="1" ht="15.75">
      <c r="A1" s="78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C1" s="24"/>
    </row>
    <row r="2" spans="1:189" s="1" customFormat="1">
      <c r="A2" s="83" t="s">
        <v>18</v>
      </c>
      <c r="B2" s="84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6"/>
      <c r="AC2" s="45" t="s">
        <v>15</v>
      </c>
      <c r="AD2" s="46" t="s">
        <v>16</v>
      </c>
      <c r="AE2" s="46" t="s">
        <v>20</v>
      </c>
      <c r="AF2" s="46" t="s">
        <v>21</v>
      </c>
      <c r="AG2" s="46" t="s">
        <v>25</v>
      </c>
      <c r="AH2" s="46"/>
      <c r="AI2" s="46" t="s">
        <v>26</v>
      </c>
      <c r="AJ2" s="46"/>
      <c r="AK2" s="46" t="s">
        <v>22</v>
      </c>
      <c r="AL2" s="47"/>
      <c r="AN2" s="59" t="s">
        <v>15</v>
      </c>
      <c r="AO2" s="46" t="s">
        <v>16</v>
      </c>
      <c r="AP2" s="46" t="s">
        <v>27</v>
      </c>
      <c r="AQ2" s="46"/>
      <c r="AR2" s="46" t="s">
        <v>28</v>
      </c>
      <c r="AS2" s="46"/>
      <c r="AT2" s="46" t="s">
        <v>29</v>
      </c>
      <c r="AU2" s="46"/>
      <c r="AV2" s="46"/>
      <c r="AW2" s="46"/>
      <c r="AX2" s="46" t="s">
        <v>23</v>
      </c>
      <c r="AY2" s="46" t="s">
        <v>24</v>
      </c>
      <c r="AZ2" s="47" t="s">
        <v>24</v>
      </c>
    </row>
    <row r="3" spans="1:189" s="1" customFormat="1">
      <c r="A3" s="65"/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6"/>
      <c r="AB3" s="4"/>
      <c r="AC3" s="48">
        <v>1</v>
      </c>
      <c r="AD3" s="39">
        <f>$M$7-AC3</f>
        <v>99</v>
      </c>
      <c r="AE3" s="49">
        <f>$C$15*$C$27*$C$6^$C$24*$C$25*AC3^($C$25-1)</f>
        <v>9.1461010385465258</v>
      </c>
      <c r="AF3" s="49">
        <f>$E$15*$E$27*$E$6^$E$24*$E$25*AD3^($E$25-1)</f>
        <v>0.81847689162058235</v>
      </c>
      <c r="AG3" s="49">
        <v>0</v>
      </c>
      <c r="AH3" s="39">
        <f>H7</f>
        <v>0.99999999999988576</v>
      </c>
      <c r="AI3" s="39">
        <f>C7</f>
        <v>39.999999999942197</v>
      </c>
      <c r="AJ3" s="49">
        <v>0</v>
      </c>
      <c r="AK3" s="49">
        <v>100</v>
      </c>
      <c r="AL3" s="50">
        <v>0</v>
      </c>
      <c r="AM3" s="4"/>
      <c r="AN3" s="48">
        <f>-M7</f>
        <v>-100</v>
      </c>
      <c r="AO3" s="49">
        <v>0</v>
      </c>
      <c r="AP3" s="39">
        <f>C9</f>
        <v>99.99999999988782</v>
      </c>
      <c r="AQ3" s="39">
        <f>-C7</f>
        <v>-39.999999999942197</v>
      </c>
      <c r="AR3" s="39">
        <f>0</f>
        <v>0</v>
      </c>
      <c r="AS3" s="39">
        <f>C17/C15</f>
        <v>199.99999999992136</v>
      </c>
      <c r="AT3" s="39">
        <v>1</v>
      </c>
      <c r="AU3" s="39">
        <f>($C$19/(2*AT3^$C$29))^(1/$E$29)</f>
        <v>9999.9999999921329</v>
      </c>
      <c r="AV3" s="49">
        <v>0</v>
      </c>
      <c r="AW3" s="49">
        <v>0</v>
      </c>
      <c r="AX3" s="49">
        <v>0</v>
      </c>
      <c r="AY3" s="49">
        <v>0</v>
      </c>
      <c r="AZ3" s="50">
        <f>$E$27*$M$7^$E$25*$E$6^$E$24</f>
        <v>135.86551826765384</v>
      </c>
      <c r="BB3" s="24"/>
      <c r="BK3" s="5"/>
      <c r="BR3" s="4"/>
      <c r="BY3" s="4"/>
    </row>
    <row r="4" spans="1:189" s="9" customFormat="1">
      <c r="A4" s="67"/>
      <c r="B4" s="8"/>
      <c r="C4" s="88"/>
      <c r="D4" s="88"/>
      <c r="E4" s="88"/>
      <c r="F4" s="89"/>
      <c r="G4" s="89"/>
      <c r="H4" s="93" t="s">
        <v>10</v>
      </c>
      <c r="I4" s="93"/>
      <c r="J4" s="93"/>
      <c r="K4" s="10"/>
      <c r="L4" s="10"/>
      <c r="M4" s="13"/>
      <c r="N4" s="11"/>
      <c r="O4" s="66"/>
      <c r="AC4" s="51">
        <f>($AC$31-$AC$3)/28+AC3</f>
        <v>4.5</v>
      </c>
      <c r="AD4" s="39">
        <f t="shared" ref="AD4:AD31" si="0">$M$7-AC4</f>
        <v>95.5</v>
      </c>
      <c r="AE4" s="49">
        <f t="shared" ref="AE4:AE31" si="1">$C$15*$C$27*$C$6^$C$24*$C$25*AC4^($C$25-1)</f>
        <v>3.709441159469415</v>
      </c>
      <c r="AF4" s="49">
        <f>$E$15*$E$27*$E$6^$E$24*$E$25*AD4^($E$25-1)</f>
        <v>0.83034610253186469</v>
      </c>
      <c r="AG4" s="39">
        <f>M7</f>
        <v>100</v>
      </c>
      <c r="AH4" s="39">
        <f>H7</f>
        <v>0.99999999999988576</v>
      </c>
      <c r="AI4" s="39">
        <f>C7</f>
        <v>39.999999999942197</v>
      </c>
      <c r="AJ4" s="39">
        <f>H7</f>
        <v>0.99999999999988576</v>
      </c>
      <c r="AK4" s="52">
        <v>100</v>
      </c>
      <c r="AL4" s="53">
        <v>3</v>
      </c>
      <c r="AN4" s="60">
        <v>0</v>
      </c>
      <c r="AO4" s="58">
        <f>-M7</f>
        <v>-100</v>
      </c>
      <c r="AP4" s="58">
        <f>-E7</f>
        <v>-60.000000000057803</v>
      </c>
      <c r="AQ4" s="58">
        <f>-C7</f>
        <v>-39.999999999942197</v>
      </c>
      <c r="AR4" s="58">
        <f>C17/E15</f>
        <v>199.99999999992136</v>
      </c>
      <c r="AS4" s="58">
        <v>0</v>
      </c>
      <c r="AT4" s="51">
        <f>($AT$33-$AT$3)/30+AT3</f>
        <v>7.6333333333307118</v>
      </c>
      <c r="AU4" s="39">
        <f t="shared" ref="AU4:AU33" si="2">($C$19/(2*AT4^$C$29))^(1/$E$29)</f>
        <v>1310.04366812169</v>
      </c>
      <c r="AV4" s="39">
        <f>-AC3</f>
        <v>-1</v>
      </c>
      <c r="AW4" s="39">
        <f>-($M$7-AD3)</f>
        <v>-1</v>
      </c>
      <c r="AX4" s="49">
        <f>$C$27*AC3^$C$25*$C$6^$C$24</f>
        <v>22.865252596366314</v>
      </c>
      <c r="AY4" s="49">
        <f>$E$27*(-AW4)^$E$25*$E$6^$E$24</f>
        <v>8.5725346612584037</v>
      </c>
      <c r="AZ4" s="50">
        <f>$E$27*($M$7+AV4)^$E$25*$E$6^$E$24</f>
        <v>135.0486871173961</v>
      </c>
      <c r="BC4" s="63"/>
      <c r="BF4" s="24"/>
      <c r="BG4" s="24"/>
      <c r="BH4" s="1"/>
      <c r="BI4" s="1"/>
      <c r="BJ4" s="1"/>
    </row>
    <row r="5" spans="1:189" s="9" customFormat="1">
      <c r="A5" s="87" t="s">
        <v>5</v>
      </c>
      <c r="B5" s="8"/>
      <c r="C5" s="89" t="s">
        <v>3</v>
      </c>
      <c r="D5" s="89"/>
      <c r="E5" s="89" t="s">
        <v>4</v>
      </c>
      <c r="F5" s="89"/>
      <c r="G5" s="89"/>
      <c r="H5" s="89" t="s">
        <v>3</v>
      </c>
      <c r="I5" s="89"/>
      <c r="J5" s="89" t="s">
        <v>4</v>
      </c>
      <c r="K5" s="10"/>
      <c r="L5" s="10"/>
      <c r="M5" s="10"/>
      <c r="N5" s="11"/>
      <c r="O5" s="66"/>
      <c r="AC5" s="51">
        <f t="shared" ref="AC5:AC30" si="3">($AC$31-$AC$3)/28+AC4</f>
        <v>8</v>
      </c>
      <c r="AD5" s="39">
        <f t="shared" si="0"/>
        <v>92</v>
      </c>
      <c r="AE5" s="49">
        <f t="shared" si="1"/>
        <v>2.626527804403767</v>
      </c>
      <c r="AF5" s="49">
        <f>$E$15*$E$27*$E$6^$E$24*$E$25*AD5^($E$25-1)</f>
        <v>0.84284044788761658</v>
      </c>
      <c r="AG5" s="49"/>
      <c r="AH5" s="49"/>
      <c r="AI5" s="49"/>
      <c r="AJ5" s="49"/>
      <c r="AK5" s="52"/>
      <c r="AL5" s="53"/>
      <c r="AN5" s="60"/>
      <c r="AO5" s="52"/>
      <c r="AP5" s="58">
        <f>-E7</f>
        <v>-60.000000000057803</v>
      </c>
      <c r="AQ5" s="58">
        <f>E9</f>
        <v>100.00000000003355</v>
      </c>
      <c r="AR5" s="58"/>
      <c r="AS5" s="58"/>
      <c r="AT5" s="51">
        <f t="shared" ref="AT5:AT32" si="4">($AT$33-$AT$3)/30+AT4</f>
        <v>14.266666666661424</v>
      </c>
      <c r="AU5" s="39">
        <f t="shared" si="2"/>
        <v>700.93457943895862</v>
      </c>
      <c r="AV5" s="39">
        <f t="shared" ref="AV5:AV32" si="5">-AC4</f>
        <v>-4.5</v>
      </c>
      <c r="AW5" s="39">
        <f t="shared" ref="AW5:AW32" si="6">-($M$7-AD4)</f>
        <v>-4.5</v>
      </c>
      <c r="AX5" s="49">
        <f t="shared" ref="AX5:AX32" si="7">$C$27*AC4^$C$25*$C$6^$C$24</f>
        <v>41.731213044030923</v>
      </c>
      <c r="AY5" s="49">
        <f t="shared" ref="AY5:AY32" si="8">$E$27*(-AW5)^$E$25*$E$6^$E$24</f>
        <v>21.136679299564999</v>
      </c>
      <c r="AZ5" s="50">
        <f t="shared" ref="AZ5:AZ32" si="9">$E$27*($M$7+AV5)^$E$25*$E$6^$E$24</f>
        <v>132.16342131965513</v>
      </c>
      <c r="BF5" s="24"/>
      <c r="BG5" s="24"/>
      <c r="BH5" s="1"/>
      <c r="BI5" s="1"/>
      <c r="BJ5" s="1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J5" s="12"/>
      <c r="FK5" s="12"/>
      <c r="FL5" s="12"/>
      <c r="FM5" s="12"/>
      <c r="FN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</row>
    <row r="6" spans="1:189" s="9" customFormat="1">
      <c r="A6" s="87" t="s">
        <v>0</v>
      </c>
      <c r="B6" s="8"/>
      <c r="C6" s="35">
        <v>60</v>
      </c>
      <c r="D6" s="36"/>
      <c r="E6" s="36">
        <v>40</v>
      </c>
      <c r="F6" s="15"/>
      <c r="G6" s="15"/>
      <c r="H6" s="16">
        <v>0.99999999999849098</v>
      </c>
      <c r="I6" s="37">
        <f>(C15-(C7/C9)*H7)/(C6/C9)</f>
        <v>0.99999999999916989</v>
      </c>
      <c r="J6" s="16">
        <v>1.0000000000005829</v>
      </c>
      <c r="K6" s="38">
        <f>(E15-E7/E9*H7)/(E6/E9)</f>
        <v>0.99999999999956501</v>
      </c>
      <c r="L6" s="15"/>
      <c r="M6" s="89" t="s">
        <v>11</v>
      </c>
      <c r="N6" s="15"/>
      <c r="O6" s="68"/>
      <c r="AC6" s="51">
        <f t="shared" si="3"/>
        <v>11.5</v>
      </c>
      <c r="AD6" s="39">
        <f t="shared" si="0"/>
        <v>88.5</v>
      </c>
      <c r="AE6" s="49">
        <f t="shared" si="1"/>
        <v>2.1126000736028048</v>
      </c>
      <c r="AF6" s="49">
        <f>$E$15*$E$27*$E$6^$E$24*$E$25*AD6^($E$25-1)</f>
        <v>0.85601858132834263</v>
      </c>
      <c r="AG6" s="49"/>
      <c r="AH6" s="49"/>
      <c r="AI6" s="49"/>
      <c r="AJ6" s="49"/>
      <c r="AK6" s="52"/>
      <c r="AL6" s="53"/>
      <c r="AN6" s="60"/>
      <c r="AO6" s="52"/>
      <c r="AP6" s="58">
        <f>C9</f>
        <v>99.99999999988782</v>
      </c>
      <c r="AQ6" s="58">
        <f>E9</f>
        <v>100.00000000003355</v>
      </c>
      <c r="AR6" s="58"/>
      <c r="AS6" s="58"/>
      <c r="AT6" s="51">
        <f t="shared" si="4"/>
        <v>20.899999999992136</v>
      </c>
      <c r="AU6" s="39">
        <f t="shared" si="2"/>
        <v>478.46889952133461</v>
      </c>
      <c r="AV6" s="39">
        <f t="shared" si="5"/>
        <v>-8</v>
      </c>
      <c r="AW6" s="39">
        <f t="shared" si="6"/>
        <v>-8</v>
      </c>
      <c r="AX6" s="49">
        <f t="shared" si="7"/>
        <v>52.530556088075343</v>
      </c>
      <c r="AY6" s="49">
        <f t="shared" si="8"/>
        <v>29.851299512936208</v>
      </c>
      <c r="AZ6" s="50">
        <f t="shared" si="9"/>
        <v>129.23553534276789</v>
      </c>
      <c r="BF6" s="24"/>
      <c r="BG6" s="24"/>
      <c r="BH6" s="1"/>
      <c r="BI6" s="1"/>
      <c r="BJ6" s="1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J6" s="12"/>
      <c r="FK6" s="12"/>
      <c r="FL6" s="12"/>
      <c r="FM6" s="12"/>
      <c r="FN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</row>
    <row r="7" spans="1:189" s="9" customFormat="1">
      <c r="A7" s="87" t="s">
        <v>1</v>
      </c>
      <c r="B7" s="8"/>
      <c r="C7" s="14">
        <v>39.999999999942197</v>
      </c>
      <c r="D7" s="37">
        <f>(C25*C9*C15)/H7</f>
        <v>39.999999999959698</v>
      </c>
      <c r="E7" s="16">
        <v>60.000000000057803</v>
      </c>
      <c r="F7" s="38">
        <f>E25*E9*E15/H7</f>
        <v>60.000000000026986</v>
      </c>
      <c r="G7" s="15"/>
      <c r="H7" s="16">
        <v>0.99999999999988576</v>
      </c>
      <c r="I7" s="15"/>
      <c r="J7" s="15"/>
      <c r="K7" s="15"/>
      <c r="L7" s="15"/>
      <c r="M7" s="17">
        <v>100</v>
      </c>
      <c r="N7" s="38">
        <f>C7+E7</f>
        <v>100</v>
      </c>
      <c r="O7" s="68"/>
      <c r="AC7" s="51">
        <f t="shared" si="3"/>
        <v>15</v>
      </c>
      <c r="AD7" s="39">
        <f t="shared" si="0"/>
        <v>85</v>
      </c>
      <c r="AE7" s="49">
        <f t="shared" si="1"/>
        <v>1.8012800513608178</v>
      </c>
      <c r="AF7" s="49">
        <f t="shared" ref="AF7:AF31" si="10">$E$15*$E$27*$E$6^$E$24*$E$25*AD7^($E$25-1)</f>
        <v>0.86994727057280374</v>
      </c>
      <c r="AG7" s="49"/>
      <c r="AH7" s="49"/>
      <c r="AI7" s="49"/>
      <c r="AJ7" s="49"/>
      <c r="AK7" s="52"/>
      <c r="AL7" s="53"/>
      <c r="AN7" s="60"/>
      <c r="AO7" s="52"/>
      <c r="AP7" s="58">
        <f>C9</f>
        <v>99.99999999988782</v>
      </c>
      <c r="AQ7" s="58">
        <f>-C7</f>
        <v>-39.999999999942197</v>
      </c>
      <c r="AR7" s="58"/>
      <c r="AS7" s="58"/>
      <c r="AT7" s="51">
        <f t="shared" si="4"/>
        <v>27.533333333322847</v>
      </c>
      <c r="AU7" s="39">
        <f t="shared" si="2"/>
        <v>363.196125907843</v>
      </c>
      <c r="AV7" s="39">
        <f t="shared" si="5"/>
        <v>-11.5</v>
      </c>
      <c r="AW7" s="39">
        <f t="shared" si="6"/>
        <v>-11.5</v>
      </c>
      <c r="AX7" s="49">
        <f t="shared" si="7"/>
        <v>60.737252116080626</v>
      </c>
      <c r="AY7" s="49">
        <f t="shared" si="8"/>
        <v>37.113161713849664</v>
      </c>
      <c r="AZ7" s="50">
        <f t="shared" si="9"/>
        <v>126.2627407459305</v>
      </c>
      <c r="BF7" s="24"/>
      <c r="BG7" s="24"/>
      <c r="BH7" s="1"/>
      <c r="BI7" s="1"/>
      <c r="BJ7" s="1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J7" s="12"/>
      <c r="FK7" s="12"/>
      <c r="FL7" s="12"/>
      <c r="FM7" s="12"/>
      <c r="FN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</row>
    <row r="8" spans="1:189" s="9" customFormat="1">
      <c r="A8" s="67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69"/>
      <c r="AC8" s="51">
        <f t="shared" si="3"/>
        <v>18.5</v>
      </c>
      <c r="AD8" s="39">
        <f t="shared" si="0"/>
        <v>81.5</v>
      </c>
      <c r="AE8" s="49">
        <f t="shared" si="1"/>
        <v>1.5883015428099663</v>
      </c>
      <c r="AF8" s="49">
        <f t="shared" si="10"/>
        <v>0.8847029118027826</v>
      </c>
      <c r="AG8" s="49"/>
      <c r="AH8" s="49"/>
      <c r="AI8" s="49"/>
      <c r="AJ8" s="49"/>
      <c r="AK8" s="52"/>
      <c r="AL8" s="53"/>
      <c r="AN8" s="60"/>
      <c r="AO8" s="52"/>
      <c r="AP8" s="52"/>
      <c r="AQ8" s="52"/>
      <c r="AR8" s="52"/>
      <c r="AS8" s="52"/>
      <c r="AT8" s="51">
        <f t="shared" si="4"/>
        <v>34.166666666653562</v>
      </c>
      <c r="AU8" s="39">
        <f t="shared" si="2"/>
        <v>292.68292682915035</v>
      </c>
      <c r="AV8" s="39">
        <f t="shared" si="5"/>
        <v>-15</v>
      </c>
      <c r="AW8" s="39">
        <f t="shared" si="6"/>
        <v>-15</v>
      </c>
      <c r="AX8" s="49">
        <f t="shared" si="7"/>
        <v>67.548001926030665</v>
      </c>
      <c r="AY8" s="49">
        <f t="shared" si="8"/>
        <v>43.52752816480622</v>
      </c>
      <c r="AZ8" s="50">
        <f t="shared" si="9"/>
        <v>123.24252999781395</v>
      </c>
      <c r="BF8" s="24"/>
      <c r="BG8" s="24"/>
      <c r="BH8" s="1"/>
      <c r="BI8" s="1"/>
      <c r="BJ8" s="1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ER8" s="12"/>
      <c r="ES8" s="12"/>
      <c r="EU8" s="12"/>
      <c r="EV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J8" s="12"/>
      <c r="FK8" s="12"/>
      <c r="FL8" s="12"/>
      <c r="FM8" s="12"/>
      <c r="FN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</row>
    <row r="9" spans="1:189" s="9" customFormat="1">
      <c r="A9" s="87" t="s">
        <v>2</v>
      </c>
      <c r="B9" s="8"/>
      <c r="C9" s="19">
        <v>99.99999999988782</v>
      </c>
      <c r="D9" s="40">
        <f>C27*C6^C24*C7^C25</f>
        <v>99.99999999994219</v>
      </c>
      <c r="E9" s="19">
        <v>100.00000000003355</v>
      </c>
      <c r="F9" s="39">
        <f>E27*E6^E24*E7^E25</f>
        <v>100.00000000005781</v>
      </c>
      <c r="G9" s="20"/>
      <c r="H9" s="6"/>
      <c r="I9" s="6"/>
      <c r="J9" s="6"/>
      <c r="K9" s="6"/>
      <c r="L9" s="6"/>
      <c r="M9" s="6"/>
      <c r="N9" s="6"/>
      <c r="O9" s="66"/>
      <c r="AC9" s="51">
        <f t="shared" si="3"/>
        <v>22</v>
      </c>
      <c r="AD9" s="39">
        <f t="shared" si="0"/>
        <v>78</v>
      </c>
      <c r="AE9" s="49">
        <f t="shared" si="1"/>
        <v>1.4314704468406065</v>
      </c>
      <c r="AF9" s="49">
        <f t="shared" si="10"/>
        <v>0.9003734063247073</v>
      </c>
      <c r="AG9" s="49"/>
      <c r="AH9" s="49"/>
      <c r="AI9" s="49"/>
      <c r="AJ9" s="49"/>
      <c r="AK9" s="52"/>
      <c r="AL9" s="53"/>
      <c r="AN9" s="60"/>
      <c r="AO9" s="52"/>
      <c r="AP9" s="52"/>
      <c r="AQ9" s="52"/>
      <c r="AR9" s="52"/>
      <c r="AS9" s="52"/>
      <c r="AT9" s="51">
        <f t="shared" si="4"/>
        <v>40.799999999984273</v>
      </c>
      <c r="AU9" s="39">
        <f t="shared" si="2"/>
        <v>245.09803921558796</v>
      </c>
      <c r="AV9" s="39">
        <f t="shared" si="5"/>
        <v>-18.5</v>
      </c>
      <c r="AW9" s="39">
        <f t="shared" si="6"/>
        <v>-18.5</v>
      </c>
      <c r="AX9" s="49">
        <f t="shared" si="7"/>
        <v>73.458946354960929</v>
      </c>
      <c r="AY9" s="49">
        <f t="shared" si="8"/>
        <v>49.364220870553197</v>
      </c>
      <c r="AZ9" s="50">
        <f t="shared" si="9"/>
        <v>120.17214551987797</v>
      </c>
      <c r="BF9" s="24"/>
      <c r="BG9" s="24"/>
      <c r="BH9" s="1"/>
      <c r="BI9" s="1"/>
      <c r="BJ9" s="1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ER9" s="12"/>
      <c r="ES9" s="12"/>
      <c r="EU9" s="12"/>
      <c r="EV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J9" s="12"/>
      <c r="FK9" s="12"/>
      <c r="FL9" s="12"/>
      <c r="FM9" s="12"/>
      <c r="FN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</row>
    <row r="10" spans="1:189" s="9" customFormat="1">
      <c r="A10" s="87"/>
      <c r="B10" s="8"/>
      <c r="C10" s="20"/>
      <c r="D10" s="20"/>
      <c r="E10" s="20"/>
      <c r="F10" s="20"/>
      <c r="G10" s="20"/>
      <c r="H10" s="6"/>
      <c r="I10" s="6"/>
      <c r="J10" s="6"/>
      <c r="K10" s="6"/>
      <c r="L10" s="6"/>
      <c r="M10" s="6"/>
      <c r="N10" s="6"/>
      <c r="O10" s="66"/>
      <c r="AC10" s="51">
        <f t="shared" si="3"/>
        <v>25.5</v>
      </c>
      <c r="AD10" s="39">
        <f t="shared" si="0"/>
        <v>74.5</v>
      </c>
      <c r="AE10" s="49">
        <f t="shared" si="1"/>
        <v>1.3101224435051801</v>
      </c>
      <c r="AF10" s="49">
        <f t="shared" si="10"/>
        <v>0.91706050699524955</v>
      </c>
      <c r="AG10" s="49"/>
      <c r="AH10" s="49"/>
      <c r="AI10" s="49"/>
      <c r="AJ10" s="49"/>
      <c r="AK10" s="52"/>
      <c r="AL10" s="53"/>
      <c r="AN10" s="60"/>
      <c r="AO10" s="52"/>
      <c r="AP10" s="52"/>
      <c r="AQ10" s="52"/>
      <c r="AR10" s="52"/>
      <c r="AS10" s="52"/>
      <c r="AT10" s="51">
        <f t="shared" si="4"/>
        <v>47.433333333314984</v>
      </c>
      <c r="AU10" s="39">
        <f t="shared" si="2"/>
        <v>210.82220660567816</v>
      </c>
      <c r="AV10" s="39">
        <f t="shared" si="5"/>
        <v>-22</v>
      </c>
      <c r="AW10" s="39">
        <f t="shared" si="6"/>
        <v>-22</v>
      </c>
      <c r="AX10" s="49">
        <f t="shared" si="7"/>
        <v>78.73087457623339</v>
      </c>
      <c r="AY10" s="49">
        <f t="shared" si="8"/>
        <v>54.772537107810763</v>
      </c>
      <c r="AZ10" s="50">
        <f t="shared" si="9"/>
        <v>117.04854282221199</v>
      </c>
      <c r="BF10" s="24"/>
      <c r="BG10" s="24"/>
      <c r="BH10" s="1"/>
      <c r="BI10" s="1"/>
      <c r="BJ10" s="1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ER10" s="12"/>
      <c r="ES10" s="12"/>
      <c r="EU10" s="12"/>
      <c r="EV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J10" s="12"/>
      <c r="FK10" s="12"/>
      <c r="FL10" s="12"/>
      <c r="FM10" s="12"/>
      <c r="FN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</row>
    <row r="11" spans="1:189" s="9" customFormat="1">
      <c r="A11" s="87" t="s">
        <v>7</v>
      </c>
      <c r="B11" s="8"/>
      <c r="C11" s="19">
        <v>99.999999999960664</v>
      </c>
      <c r="D11" s="40">
        <f>C29*C17/C15</f>
        <v>99.999999999960679</v>
      </c>
      <c r="E11" s="19">
        <v>99.999999999960679</v>
      </c>
      <c r="F11" s="39">
        <f>E29*C17/E15</f>
        <v>99.999999999960679</v>
      </c>
      <c r="G11" s="20"/>
      <c r="H11" s="6"/>
      <c r="I11" s="6"/>
      <c r="J11" s="6"/>
      <c r="K11" s="6"/>
      <c r="L11" s="6"/>
      <c r="M11" s="6"/>
      <c r="N11" s="6"/>
      <c r="O11" s="66"/>
      <c r="AC11" s="51">
        <f t="shared" si="3"/>
        <v>29</v>
      </c>
      <c r="AD11" s="39">
        <f t="shared" si="0"/>
        <v>71</v>
      </c>
      <c r="AE11" s="49">
        <f t="shared" si="1"/>
        <v>1.2128223625044767</v>
      </c>
      <c r="AF11" s="49">
        <f t="shared" si="10"/>
        <v>0.93488278056940854</v>
      </c>
      <c r="AG11" s="49"/>
      <c r="AH11" s="49"/>
      <c r="AI11" s="49"/>
      <c r="AJ11" s="49"/>
      <c r="AK11" s="52"/>
      <c r="AL11" s="53"/>
      <c r="AN11" s="60"/>
      <c r="AO11" s="52"/>
      <c r="AP11" s="52"/>
      <c r="AQ11" s="52"/>
      <c r="AR11" s="52"/>
      <c r="AS11" s="52"/>
      <c r="AT11" s="51">
        <f t="shared" si="4"/>
        <v>54.066666666645695</v>
      </c>
      <c r="AU11" s="39">
        <f t="shared" si="2"/>
        <v>184.95684340313218</v>
      </c>
      <c r="AV11" s="39">
        <f t="shared" si="5"/>
        <v>-25.5</v>
      </c>
      <c r="AW11" s="39">
        <f t="shared" si="6"/>
        <v>-25.5</v>
      </c>
      <c r="AX11" s="49">
        <f t="shared" si="7"/>
        <v>83.520305773455235</v>
      </c>
      <c r="AY11" s="49">
        <f t="shared" si="8"/>
        <v>59.845756064251077</v>
      </c>
      <c r="AZ11" s="50">
        <f t="shared" si="9"/>
        <v>113.8683462852435</v>
      </c>
      <c r="BF11" s="24"/>
      <c r="BG11" s="24"/>
      <c r="BH11" s="1"/>
      <c r="BI11" s="1"/>
      <c r="BJ11" s="1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ER11" s="12"/>
      <c r="ES11" s="12"/>
      <c r="EU11" s="12"/>
      <c r="EV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J11" s="12"/>
      <c r="FK11" s="12"/>
      <c r="FL11" s="12"/>
      <c r="FM11" s="12"/>
      <c r="FN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</row>
    <row r="12" spans="1:189" s="9" customFormat="1">
      <c r="A12" s="87"/>
      <c r="B12" s="8"/>
      <c r="C12" s="20"/>
      <c r="D12" s="20"/>
      <c r="E12" s="20"/>
      <c r="F12" s="20"/>
      <c r="G12" s="20"/>
      <c r="H12" s="6"/>
      <c r="I12" s="6"/>
      <c r="J12" s="6"/>
      <c r="K12" s="6"/>
      <c r="L12" s="6"/>
      <c r="M12" s="6"/>
      <c r="N12" s="6"/>
      <c r="O12" s="66"/>
      <c r="AC12" s="51">
        <f t="shared" si="3"/>
        <v>32.5</v>
      </c>
      <c r="AD12" s="39">
        <f t="shared" si="0"/>
        <v>67.5</v>
      </c>
      <c r="AE12" s="49">
        <f t="shared" si="1"/>
        <v>1.1326767296452025</v>
      </c>
      <c r="AF12" s="49">
        <f t="shared" si="10"/>
        <v>0.95397938740350363</v>
      </c>
      <c r="AG12" s="49"/>
      <c r="AH12" s="49"/>
      <c r="AI12" s="49"/>
      <c r="AJ12" s="49"/>
      <c r="AK12" s="52"/>
      <c r="AL12" s="53"/>
      <c r="AN12" s="60"/>
      <c r="AO12" s="52"/>
      <c r="AP12" s="52"/>
      <c r="AQ12" s="52"/>
      <c r="AR12" s="52"/>
      <c r="AS12" s="52"/>
      <c r="AT12" s="51">
        <f t="shared" si="4"/>
        <v>60.699999999976406</v>
      </c>
      <c r="AU12" s="39">
        <f t="shared" si="2"/>
        <v>164.74464579894598</v>
      </c>
      <c r="AV12" s="39">
        <f t="shared" si="5"/>
        <v>-29</v>
      </c>
      <c r="AW12" s="39">
        <f t="shared" si="6"/>
        <v>-29</v>
      </c>
      <c r="AX12" s="49">
        <f t="shared" si="7"/>
        <v>87.929621281574569</v>
      </c>
      <c r="AY12" s="49">
        <f t="shared" si="8"/>
        <v>64.646951270262534</v>
      </c>
      <c r="AZ12" s="50">
        <f t="shared" si="9"/>
        <v>110.62779570071336</v>
      </c>
      <c r="BF12" s="24"/>
      <c r="BG12" s="24"/>
      <c r="BH12" s="1"/>
      <c r="BI12" s="1"/>
      <c r="BJ12" s="1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ER12" s="12"/>
      <c r="ES12" s="12"/>
      <c r="EU12" s="12"/>
      <c r="EV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J12" s="12"/>
      <c r="FK12" s="12"/>
      <c r="FL12" s="12"/>
      <c r="FM12" s="12"/>
      <c r="FN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</row>
    <row r="13" spans="1:189" s="9" customFormat="1">
      <c r="A13" s="87" t="s">
        <v>8</v>
      </c>
      <c r="B13" s="8"/>
      <c r="C13" s="19">
        <v>-7.2864048158860998E-11</v>
      </c>
      <c r="D13" s="40">
        <f>C9-C11</f>
        <v>-7.2844841270125471E-11</v>
      </c>
      <c r="E13" s="19">
        <v>7.2862887800778365E-11</v>
      </c>
      <c r="F13" s="39">
        <f>E9-E11</f>
        <v>7.2873262979555875E-11</v>
      </c>
      <c r="G13" s="20"/>
      <c r="H13" s="6"/>
      <c r="I13" s="6"/>
      <c r="J13" s="6"/>
      <c r="K13" s="6"/>
      <c r="L13" s="6"/>
      <c r="M13" s="6"/>
      <c r="N13" s="6"/>
      <c r="O13" s="66"/>
      <c r="AC13" s="51">
        <f t="shared" si="3"/>
        <v>36</v>
      </c>
      <c r="AD13" s="39">
        <f t="shared" si="0"/>
        <v>64</v>
      </c>
      <c r="AE13" s="49">
        <f t="shared" si="1"/>
        <v>1.0652572394602031</v>
      </c>
      <c r="AF13" s="49">
        <f t="shared" si="10"/>
        <v>0.97451496022904749</v>
      </c>
      <c r="AG13" s="49"/>
      <c r="AH13" s="49"/>
      <c r="AI13" s="49"/>
      <c r="AJ13" s="49"/>
      <c r="AK13" s="52"/>
      <c r="AL13" s="53"/>
      <c r="AN13" s="60"/>
      <c r="AO13" s="52"/>
      <c r="AP13" s="52"/>
      <c r="AQ13" s="52"/>
      <c r="AR13" s="52"/>
      <c r="AS13" s="52"/>
      <c r="AT13" s="51">
        <f t="shared" si="4"/>
        <v>67.333333333307124</v>
      </c>
      <c r="AU13" s="39">
        <f t="shared" si="2"/>
        <v>148.51485148508945</v>
      </c>
      <c r="AV13" s="39">
        <f t="shared" si="5"/>
        <v>-32.5</v>
      </c>
      <c r="AW13" s="39">
        <f t="shared" si="6"/>
        <v>-32.5</v>
      </c>
      <c r="AX13" s="49">
        <f t="shared" si="7"/>
        <v>92.029984283672704</v>
      </c>
      <c r="AY13" s="49">
        <f t="shared" si="8"/>
        <v>69.221222716274127</v>
      </c>
      <c r="AZ13" s="50">
        <f t="shared" si="9"/>
        <v>107.32268108289418</v>
      </c>
      <c r="BF13" s="24"/>
      <c r="BG13" s="24"/>
      <c r="BH13" s="1"/>
      <c r="BI13" s="1"/>
      <c r="BJ13" s="1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ER13" s="12"/>
      <c r="ES13" s="12"/>
      <c r="EU13" s="12"/>
      <c r="EV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J13" s="12"/>
      <c r="FK13" s="12"/>
      <c r="FL13" s="12"/>
      <c r="FM13" s="12"/>
      <c r="FN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</row>
    <row r="14" spans="1:189" s="9" customFormat="1">
      <c r="A14" s="87"/>
      <c r="B14" s="8"/>
      <c r="C14" s="20"/>
      <c r="D14" s="20"/>
      <c r="E14" s="20"/>
      <c r="F14" s="20"/>
      <c r="G14" s="20"/>
      <c r="H14" s="6"/>
      <c r="I14" s="6"/>
      <c r="J14" s="6"/>
      <c r="K14" s="6"/>
      <c r="L14" s="6"/>
      <c r="M14" s="6"/>
      <c r="N14" s="6"/>
      <c r="O14" s="66"/>
      <c r="AC14" s="51">
        <f t="shared" si="3"/>
        <v>39.5</v>
      </c>
      <c r="AD14" s="39">
        <f t="shared" si="0"/>
        <v>60.5</v>
      </c>
      <c r="AE14" s="49">
        <f t="shared" si="1"/>
        <v>1.0075758217469835</v>
      </c>
      <c r="AF14" s="49">
        <f t="shared" si="10"/>
        <v>0.99668598239300799</v>
      </c>
      <c r="AG14" s="49"/>
      <c r="AH14" s="49"/>
      <c r="AI14" s="49"/>
      <c r="AJ14" s="49"/>
      <c r="AK14" s="52"/>
      <c r="AL14" s="53"/>
      <c r="AN14" s="60"/>
      <c r="AO14" s="52"/>
      <c r="AP14" s="52"/>
      <c r="AQ14" s="52"/>
      <c r="AR14" s="52"/>
      <c r="AS14" s="52"/>
      <c r="AT14" s="51">
        <f t="shared" si="4"/>
        <v>73.966666666637835</v>
      </c>
      <c r="AU14" s="39">
        <f t="shared" si="2"/>
        <v>135.19603424960832</v>
      </c>
      <c r="AV14" s="39">
        <f t="shared" si="5"/>
        <v>-36</v>
      </c>
      <c r="AW14" s="39">
        <f t="shared" si="6"/>
        <v>-36</v>
      </c>
      <c r="AX14" s="49">
        <f t="shared" si="7"/>
        <v>95.873151551418275</v>
      </c>
      <c r="AY14" s="49">
        <f t="shared" si="8"/>
        <v>73.602192281783331</v>
      </c>
      <c r="AZ14" s="50">
        <f t="shared" si="9"/>
        <v>103.94826242443173</v>
      </c>
      <c r="BF14" s="24"/>
      <c r="BG14" s="24"/>
      <c r="BH14" s="1"/>
      <c r="BI14" s="1"/>
      <c r="BJ14" s="1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ER14" s="12"/>
      <c r="ES14" s="12"/>
      <c r="EU14" s="12"/>
      <c r="EV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J14" s="12"/>
      <c r="FK14" s="12"/>
      <c r="FL14" s="12"/>
      <c r="FM14" s="12"/>
      <c r="FN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</row>
    <row r="15" spans="1:189" s="9" customFormat="1">
      <c r="A15" s="87" t="s">
        <v>6</v>
      </c>
      <c r="B15" s="8"/>
      <c r="C15" s="21">
        <v>1</v>
      </c>
      <c r="D15" s="22"/>
      <c r="E15" s="22">
        <v>1</v>
      </c>
      <c r="F15" s="20"/>
      <c r="G15" s="8"/>
      <c r="H15" s="7"/>
      <c r="I15" s="7"/>
      <c r="J15" s="7"/>
      <c r="K15" s="7"/>
      <c r="L15" s="7"/>
      <c r="M15" s="7"/>
      <c r="N15" s="7"/>
      <c r="O15" s="70"/>
      <c r="AC15" s="51">
        <f t="shared" si="3"/>
        <v>43</v>
      </c>
      <c r="AD15" s="39">
        <f t="shared" si="0"/>
        <v>57</v>
      </c>
      <c r="AE15" s="49">
        <f t="shared" si="1"/>
        <v>0.95753558229906144</v>
      </c>
      <c r="AF15" s="49">
        <f t="shared" si="10"/>
        <v>1.0207292448291376</v>
      </c>
      <c r="AG15" s="49"/>
      <c r="AH15" s="49"/>
      <c r="AI15" s="49"/>
      <c r="AJ15" s="49"/>
      <c r="AK15" s="52"/>
      <c r="AL15" s="53"/>
      <c r="AN15" s="60"/>
      <c r="AO15" s="52"/>
      <c r="AP15" s="52"/>
      <c r="AQ15" s="52"/>
      <c r="AR15" s="52"/>
      <c r="AS15" s="52"/>
      <c r="AT15" s="51">
        <f t="shared" si="4"/>
        <v>80.599999999968546</v>
      </c>
      <c r="AU15" s="39">
        <f t="shared" si="2"/>
        <v>124.06947890813943</v>
      </c>
      <c r="AV15" s="39">
        <f t="shared" si="5"/>
        <v>-39.5</v>
      </c>
      <c r="AW15" s="39">
        <f t="shared" si="6"/>
        <v>-39.5</v>
      </c>
      <c r="AX15" s="49">
        <f t="shared" si="7"/>
        <v>99.498112397514575</v>
      </c>
      <c r="AY15" s="49">
        <f t="shared" si="8"/>
        <v>77.815749917826295</v>
      </c>
      <c r="AZ15" s="50">
        <f t="shared" si="9"/>
        <v>100.49916989129497</v>
      </c>
      <c r="BF15" s="24"/>
      <c r="BG15" s="24"/>
      <c r="BH15" s="1"/>
      <c r="BI15" s="1"/>
      <c r="BJ15" s="1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ER15" s="12"/>
      <c r="ES15" s="12"/>
      <c r="EU15" s="12"/>
      <c r="EV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J15" s="12"/>
      <c r="FK15" s="12"/>
      <c r="FL15" s="12"/>
      <c r="FM15" s="12"/>
      <c r="FN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</row>
    <row r="16" spans="1:189" s="9" customFormat="1">
      <c r="A16" s="87"/>
      <c r="B16" s="8"/>
      <c r="C16" s="20"/>
      <c r="D16" s="20"/>
      <c r="E16" s="20"/>
      <c r="F16" s="20"/>
      <c r="G16" s="20"/>
      <c r="H16" s="6"/>
      <c r="I16" s="6"/>
      <c r="J16" s="6"/>
      <c r="K16" s="6"/>
      <c r="L16" s="6"/>
      <c r="M16" s="6"/>
      <c r="N16" s="6"/>
      <c r="O16" s="66"/>
      <c r="AC16" s="51">
        <f t="shared" si="3"/>
        <v>46.5</v>
      </c>
      <c r="AD16" s="39">
        <f t="shared" si="0"/>
        <v>53.5</v>
      </c>
      <c r="AE16" s="49">
        <f t="shared" si="1"/>
        <v>0.91361710731355861</v>
      </c>
      <c r="AF16" s="49">
        <f t="shared" si="10"/>
        <v>1.0469332364460504</v>
      </c>
      <c r="AG16" s="49"/>
      <c r="AH16" s="49"/>
      <c r="AI16" s="49"/>
      <c r="AJ16" s="49"/>
      <c r="AK16" s="52"/>
      <c r="AL16" s="53"/>
      <c r="AN16" s="60"/>
      <c r="AO16" s="52"/>
      <c r="AP16" s="52"/>
      <c r="AQ16" s="52"/>
      <c r="AR16" s="52"/>
      <c r="AS16" s="52"/>
      <c r="AT16" s="51">
        <f t="shared" si="4"/>
        <v>87.233333333299257</v>
      </c>
      <c r="AU16" s="39">
        <f t="shared" si="2"/>
        <v>114.63507833392481</v>
      </c>
      <c r="AV16" s="39">
        <f t="shared" si="5"/>
        <v>-43</v>
      </c>
      <c r="AW16" s="39">
        <f t="shared" si="6"/>
        <v>-43</v>
      </c>
      <c r="AX16" s="49">
        <f t="shared" si="7"/>
        <v>102.93507509714911</v>
      </c>
      <c r="AY16" s="49">
        <f t="shared" si="8"/>
        <v>81.882354679769719</v>
      </c>
      <c r="AZ16" s="50">
        <f t="shared" si="9"/>
        <v>96.969278258768071</v>
      </c>
      <c r="BF16" s="24"/>
      <c r="BG16" s="24"/>
      <c r="BH16" s="1"/>
      <c r="BI16" s="1"/>
      <c r="BJ16" s="1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ER16" s="12"/>
      <c r="ES16" s="12"/>
      <c r="EU16" s="12"/>
      <c r="EV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J16" s="12"/>
      <c r="FK16" s="12"/>
      <c r="FL16" s="12"/>
      <c r="FM16" s="12"/>
      <c r="FN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</row>
    <row r="17" spans="1:189" s="9" customFormat="1">
      <c r="A17" s="87" t="s">
        <v>9</v>
      </c>
      <c r="B17" s="8"/>
      <c r="C17" s="19">
        <v>199.99999999992136</v>
      </c>
      <c r="D17" s="39">
        <f>C9*C15+E9*E15</f>
        <v>199.99999999992139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66"/>
      <c r="AC17" s="51">
        <f t="shared" si="3"/>
        <v>50</v>
      </c>
      <c r="AD17" s="39">
        <f t="shared" si="0"/>
        <v>50</v>
      </c>
      <c r="AE17" s="49">
        <f t="shared" si="1"/>
        <v>0.87468965915462227</v>
      </c>
      <c r="AF17" s="49">
        <f t="shared" si="10"/>
        <v>1.0756537569325701</v>
      </c>
      <c r="AG17" s="49"/>
      <c r="AH17" s="49"/>
      <c r="AI17" s="49"/>
      <c r="AJ17" s="49"/>
      <c r="AK17" s="52"/>
      <c r="AL17" s="53"/>
      <c r="AN17" s="60"/>
      <c r="AO17" s="52"/>
      <c r="AP17" s="52"/>
      <c r="AQ17" s="52"/>
      <c r="AR17" s="52"/>
      <c r="AS17" s="52"/>
      <c r="AT17" s="51">
        <f t="shared" si="4"/>
        <v>93.866666666629968</v>
      </c>
      <c r="AU17" s="39">
        <f t="shared" si="2"/>
        <v>106.53409090904874</v>
      </c>
      <c r="AV17" s="39">
        <f t="shared" si="5"/>
        <v>-46.5</v>
      </c>
      <c r="AW17" s="39">
        <f t="shared" si="6"/>
        <v>-46.5</v>
      </c>
      <c r="AX17" s="49">
        <f t="shared" si="7"/>
        <v>106.20798872520115</v>
      </c>
      <c r="AY17" s="49">
        <f t="shared" si="8"/>
        <v>85.818520188241664</v>
      </c>
      <c r="AZ17" s="50">
        <f t="shared" si="9"/>
        <v>93.351546916439531</v>
      </c>
      <c r="BF17" s="24"/>
      <c r="BG17" s="24"/>
      <c r="BH17" s="1"/>
      <c r="BI17" s="1"/>
      <c r="BJ17" s="1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ER17" s="12"/>
      <c r="ES17" s="12"/>
      <c r="EU17" s="12"/>
      <c r="EV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J17" s="12"/>
      <c r="FK17" s="12"/>
      <c r="FL17" s="12"/>
      <c r="FM17" s="12"/>
      <c r="FN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</row>
    <row r="18" spans="1:189" s="9" customFormat="1">
      <c r="A18" s="87"/>
      <c r="B18" s="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69"/>
      <c r="AC18" s="51">
        <f t="shared" si="3"/>
        <v>53.5</v>
      </c>
      <c r="AD18" s="39">
        <f t="shared" si="0"/>
        <v>46.5</v>
      </c>
      <c r="AE18" s="49">
        <f t="shared" si="1"/>
        <v>0.83989254338220454</v>
      </c>
      <c r="AF18" s="49">
        <f t="shared" si="10"/>
        <v>1.107335744364409</v>
      </c>
      <c r="AG18" s="49"/>
      <c r="AH18" s="49"/>
      <c r="AI18" s="49"/>
      <c r="AJ18" s="49"/>
      <c r="AK18" s="52"/>
      <c r="AL18" s="53"/>
      <c r="AN18" s="60"/>
      <c r="AO18" s="52"/>
      <c r="AP18" s="52"/>
      <c r="AQ18" s="52"/>
      <c r="AR18" s="52"/>
      <c r="AS18" s="52"/>
      <c r="AT18" s="51">
        <f t="shared" si="4"/>
        <v>100.49999999996068</v>
      </c>
      <c r="AU18" s="39">
        <f t="shared" si="2"/>
        <v>99.502487562149682</v>
      </c>
      <c r="AV18" s="39">
        <f t="shared" si="5"/>
        <v>-50</v>
      </c>
      <c r="AW18" s="39">
        <f t="shared" si="6"/>
        <v>-50</v>
      </c>
      <c r="AX18" s="49">
        <f t="shared" si="7"/>
        <v>109.33620739432781</v>
      </c>
      <c r="AY18" s="49">
        <f t="shared" si="8"/>
        <v>89.637813077714199</v>
      </c>
      <c r="AZ18" s="50">
        <f t="shared" si="9"/>
        <v>89.637813077714199</v>
      </c>
      <c r="BF18" s="24"/>
      <c r="BG18" s="24"/>
      <c r="BH18" s="1"/>
      <c r="BI18" s="1"/>
      <c r="BJ18" s="1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ER18" s="12"/>
      <c r="ES18" s="12"/>
      <c r="EU18" s="12"/>
      <c r="EV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J18" s="12"/>
      <c r="FK18" s="12"/>
      <c r="FL18" s="12"/>
      <c r="FM18" s="12"/>
      <c r="FN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</row>
    <row r="19" spans="1:189" s="9" customFormat="1">
      <c r="A19" s="87" t="s">
        <v>14</v>
      </c>
      <c r="B19" s="8"/>
      <c r="C19" s="19">
        <f>2*C11^C29*E11^E29</f>
        <v>199.99999999992133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66"/>
      <c r="AC19" s="51">
        <f t="shared" si="3"/>
        <v>57</v>
      </c>
      <c r="AD19" s="39">
        <f t="shared" si="0"/>
        <v>43</v>
      </c>
      <c r="AE19" s="49">
        <f t="shared" si="1"/>
        <v>0.80855781930316761</v>
      </c>
      <c r="AF19" s="49">
        <f t="shared" si="10"/>
        <v>1.1425444839037633</v>
      </c>
      <c r="AG19" s="49"/>
      <c r="AH19" s="49"/>
      <c r="AI19" s="49"/>
      <c r="AJ19" s="49"/>
      <c r="AK19" s="52"/>
      <c r="AL19" s="53"/>
      <c r="AN19" s="60"/>
      <c r="AO19" s="52"/>
      <c r="AP19" s="52"/>
      <c r="AQ19" s="52"/>
      <c r="AR19" s="52"/>
      <c r="AS19" s="52"/>
      <c r="AT19" s="51">
        <f t="shared" si="4"/>
        <v>107.13333333329139</v>
      </c>
      <c r="AU19" s="39">
        <f t="shared" si="2"/>
        <v>93.341630367106845</v>
      </c>
      <c r="AV19" s="39">
        <f t="shared" si="5"/>
        <v>-53.5</v>
      </c>
      <c r="AW19" s="39">
        <f t="shared" si="6"/>
        <v>-53.5</v>
      </c>
      <c r="AX19" s="49">
        <f t="shared" si="7"/>
        <v>112.33562767736987</v>
      </c>
      <c r="AY19" s="49">
        <f t="shared" si="8"/>
        <v>93.351546916439531</v>
      </c>
      <c r="AZ19" s="50">
        <f t="shared" si="9"/>
        <v>85.818520188241664</v>
      </c>
      <c r="BF19" s="24"/>
      <c r="BG19" s="24"/>
      <c r="BH19" s="1"/>
      <c r="BI19" s="1"/>
      <c r="BJ19" s="1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ER19" s="12"/>
      <c r="ES19" s="12"/>
      <c r="EU19" s="12"/>
      <c r="EV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J19" s="12"/>
      <c r="FK19" s="12"/>
      <c r="FL19" s="12"/>
      <c r="FM19" s="12"/>
      <c r="FN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</row>
    <row r="20" spans="1:189" s="9" customFormat="1">
      <c r="A20" s="67"/>
      <c r="B20" s="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69"/>
      <c r="AC20" s="51">
        <f t="shared" si="3"/>
        <v>60.5</v>
      </c>
      <c r="AD20" s="39">
        <f t="shared" si="0"/>
        <v>39.5</v>
      </c>
      <c r="AE20" s="49">
        <f t="shared" si="1"/>
        <v>0.78015836601554733</v>
      </c>
      <c r="AF20" s="49">
        <f t="shared" si="10"/>
        <v>1.1820113911568553</v>
      </c>
      <c r="AG20" s="49"/>
      <c r="AH20" s="49"/>
      <c r="AI20" s="49"/>
      <c r="AJ20" s="49"/>
      <c r="AK20" s="52"/>
      <c r="AL20" s="53"/>
      <c r="AN20" s="60"/>
      <c r="AO20" s="52"/>
      <c r="AP20" s="52"/>
      <c r="AQ20" s="52"/>
      <c r="AR20" s="52"/>
      <c r="AS20" s="52"/>
      <c r="AT20" s="51">
        <f t="shared" si="4"/>
        <v>113.7666666666221</v>
      </c>
      <c r="AU20" s="39">
        <f t="shared" si="2"/>
        <v>87.899208907085097</v>
      </c>
      <c r="AV20" s="39">
        <f t="shared" si="5"/>
        <v>-57</v>
      </c>
      <c r="AW20" s="39">
        <f t="shared" si="6"/>
        <v>-57</v>
      </c>
      <c r="AX20" s="49">
        <f t="shared" si="7"/>
        <v>115.21948925070137</v>
      </c>
      <c r="AY20" s="49">
        <f t="shared" si="8"/>
        <v>96.969278258768071</v>
      </c>
      <c r="AZ20" s="50">
        <f t="shared" si="9"/>
        <v>81.882354679769719</v>
      </c>
      <c r="BF20" s="24"/>
      <c r="BG20" s="24"/>
      <c r="BH20" s="1"/>
      <c r="BI20" s="1"/>
      <c r="BJ20" s="1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ER20" s="12"/>
      <c r="ES20" s="12"/>
      <c r="EU20" s="12"/>
      <c r="EV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J20" s="12"/>
      <c r="FK20" s="12"/>
      <c r="FL20" s="12"/>
      <c r="FM20" s="12"/>
      <c r="FN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</row>
    <row r="21" spans="1:189" s="9" customFormat="1">
      <c r="A21" s="71" t="s">
        <v>32</v>
      </c>
      <c r="B21" s="42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64"/>
      <c r="AC21" s="51">
        <f t="shared" si="3"/>
        <v>64</v>
      </c>
      <c r="AD21" s="39">
        <f t="shared" si="0"/>
        <v>36</v>
      </c>
      <c r="AE21" s="49">
        <f t="shared" si="1"/>
        <v>0.75427204206814535</v>
      </c>
      <c r="AF21" s="49">
        <f t="shared" si="10"/>
        <v>1.2267032046963888</v>
      </c>
      <c r="AG21" s="49"/>
      <c r="AH21" s="49"/>
      <c r="AI21" s="49"/>
      <c r="AJ21" s="49"/>
      <c r="AK21" s="52"/>
      <c r="AL21" s="53"/>
      <c r="AN21" s="60"/>
      <c r="AO21" s="52"/>
      <c r="AP21" s="52"/>
      <c r="AQ21" s="52"/>
      <c r="AR21" s="52"/>
      <c r="AS21" s="52"/>
      <c r="AT21" s="51">
        <f t="shared" si="4"/>
        <v>120.39999999995281</v>
      </c>
      <c r="AU21" s="39">
        <f t="shared" si="2"/>
        <v>83.056478405282817</v>
      </c>
      <c r="AV21" s="39">
        <f t="shared" si="5"/>
        <v>-60.5</v>
      </c>
      <c r="AW21" s="39">
        <f t="shared" si="6"/>
        <v>-60.5</v>
      </c>
      <c r="AX21" s="49">
        <f t="shared" si="7"/>
        <v>117.99895285985154</v>
      </c>
      <c r="AY21" s="49">
        <f t="shared" si="8"/>
        <v>100.49916989129497</v>
      </c>
      <c r="AZ21" s="50">
        <f t="shared" si="9"/>
        <v>77.815749917826295</v>
      </c>
      <c r="BF21" s="24"/>
      <c r="BG21" s="24"/>
      <c r="BH21" s="1"/>
      <c r="BI21" s="1"/>
      <c r="BJ21" s="1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ER21" s="12"/>
      <c r="ES21" s="12"/>
      <c r="EU21" s="12"/>
      <c r="EV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J21" s="12"/>
      <c r="FK21" s="12"/>
      <c r="FL21" s="12"/>
      <c r="FM21" s="12"/>
      <c r="FN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</row>
    <row r="22" spans="1:189" s="1" customFormat="1">
      <c r="A22" s="72"/>
      <c r="B22" s="6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66"/>
      <c r="AC22" s="51">
        <f t="shared" si="3"/>
        <v>67.5</v>
      </c>
      <c r="AD22" s="39">
        <f t="shared" si="0"/>
        <v>32.5</v>
      </c>
      <c r="AE22" s="49">
        <f t="shared" si="1"/>
        <v>0.7305563686743225</v>
      </c>
      <c r="AF22" s="49">
        <f t="shared" si="10"/>
        <v>1.2779302655312146</v>
      </c>
      <c r="AG22" s="49"/>
      <c r="AH22" s="49"/>
      <c r="AI22" s="49"/>
      <c r="AJ22" s="49"/>
      <c r="AK22" s="49"/>
      <c r="AL22" s="50"/>
      <c r="AN22" s="61"/>
      <c r="AO22" s="49"/>
      <c r="AP22" s="49"/>
      <c r="AQ22" s="49"/>
      <c r="AR22" s="49"/>
      <c r="AS22" s="49"/>
      <c r="AT22" s="51">
        <f t="shared" si="4"/>
        <v>127.03333333328352</v>
      </c>
      <c r="AU22" s="39">
        <f t="shared" si="2"/>
        <v>78.719496195193301</v>
      </c>
      <c r="AV22" s="39">
        <f t="shared" si="5"/>
        <v>-64</v>
      </c>
      <c r="AW22" s="39">
        <f t="shared" si="6"/>
        <v>-64</v>
      </c>
      <c r="AX22" s="49">
        <f t="shared" si="7"/>
        <v>120.68352673090324</v>
      </c>
      <c r="AY22" s="49">
        <f t="shared" si="8"/>
        <v>103.94826242443173</v>
      </c>
      <c r="AZ22" s="50">
        <f t="shared" si="9"/>
        <v>73.602192281783331</v>
      </c>
      <c r="BF22" s="24"/>
      <c r="BG22" s="24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ER22" s="25"/>
      <c r="ES22" s="25"/>
      <c r="EU22" s="25"/>
      <c r="EV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J22" s="25"/>
      <c r="FK22" s="25"/>
      <c r="FL22" s="25"/>
      <c r="FM22" s="25"/>
      <c r="FN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</row>
    <row r="23" spans="1:189" s="1" customFormat="1">
      <c r="A23" s="90" t="s">
        <v>13</v>
      </c>
      <c r="B23" s="6"/>
      <c r="C23" s="91" t="s">
        <v>3</v>
      </c>
      <c r="D23" s="91"/>
      <c r="E23" s="91" t="s">
        <v>4</v>
      </c>
      <c r="F23" s="20"/>
      <c r="G23" s="20"/>
      <c r="H23" s="20"/>
      <c r="I23" s="20"/>
      <c r="J23" s="20"/>
      <c r="K23" s="20"/>
      <c r="L23" s="20"/>
      <c r="M23" s="20"/>
      <c r="N23" s="20"/>
      <c r="O23" s="66"/>
      <c r="AC23" s="51">
        <f t="shared" si="3"/>
        <v>71</v>
      </c>
      <c r="AD23" s="39">
        <f t="shared" si="0"/>
        <v>29</v>
      </c>
      <c r="AE23" s="49">
        <f t="shared" si="1"/>
        <v>0.70873027589219162</v>
      </c>
      <c r="AF23" s="49">
        <f t="shared" si="10"/>
        <v>1.3375231297295693</v>
      </c>
      <c r="AG23" s="49"/>
      <c r="AH23" s="49"/>
      <c r="AI23" s="49"/>
      <c r="AJ23" s="49"/>
      <c r="AK23" s="49"/>
      <c r="AL23" s="50"/>
      <c r="AN23" s="61"/>
      <c r="AO23" s="49"/>
      <c r="AP23" s="49"/>
      <c r="AQ23" s="49"/>
      <c r="AR23" s="49"/>
      <c r="AS23" s="49"/>
      <c r="AT23" s="51">
        <f t="shared" si="4"/>
        <v>133.66666666661425</v>
      </c>
      <c r="AU23" s="39">
        <f t="shared" si="2"/>
        <v>74.812967581017858</v>
      </c>
      <c r="AV23" s="39">
        <f t="shared" si="5"/>
        <v>-67.5</v>
      </c>
      <c r="AW23" s="39">
        <f t="shared" si="6"/>
        <v>-67.5</v>
      </c>
      <c r="AX23" s="49">
        <f t="shared" si="7"/>
        <v>123.28138721379194</v>
      </c>
      <c r="AY23" s="49">
        <f t="shared" si="8"/>
        <v>107.32268108289418</v>
      </c>
      <c r="AZ23" s="50">
        <f t="shared" si="9"/>
        <v>69.221222716274127</v>
      </c>
      <c r="BF23" s="24"/>
      <c r="BG23" s="24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ER23" s="25"/>
      <c r="ES23" s="25"/>
      <c r="EU23" s="25"/>
      <c r="EV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J23" s="25"/>
      <c r="FK23" s="25"/>
      <c r="FL23" s="25"/>
      <c r="FM23" s="25"/>
      <c r="FN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</row>
    <row r="24" spans="1:189" s="1" customFormat="1">
      <c r="A24" s="72" t="s">
        <v>0</v>
      </c>
      <c r="B24" s="6"/>
      <c r="C24" s="29">
        <f>60/100</f>
        <v>0.6</v>
      </c>
      <c r="D24" s="22"/>
      <c r="E24" s="29">
        <f>40/100</f>
        <v>0.4</v>
      </c>
      <c r="F24" s="20"/>
      <c r="G24" s="20"/>
      <c r="H24" s="20"/>
      <c r="I24" s="20"/>
      <c r="J24" s="20"/>
      <c r="K24" s="20"/>
      <c r="L24" s="20"/>
      <c r="M24" s="20"/>
      <c r="N24" s="20"/>
      <c r="O24" s="66"/>
      <c r="AC24" s="51">
        <f t="shared" si="3"/>
        <v>74.5</v>
      </c>
      <c r="AD24" s="39">
        <f t="shared" si="0"/>
        <v>25.5</v>
      </c>
      <c r="AE24" s="49">
        <f t="shared" si="1"/>
        <v>0.68856069949329124</v>
      </c>
      <c r="AF24" s="49">
        <f t="shared" si="10"/>
        <v>1.4081354368059076</v>
      </c>
      <c r="AG24" s="49"/>
      <c r="AH24" s="49"/>
      <c r="AI24" s="49"/>
      <c r="AJ24" s="49"/>
      <c r="AK24" s="49"/>
      <c r="AL24" s="50"/>
      <c r="AN24" s="61"/>
      <c r="AO24" s="49"/>
      <c r="AP24" s="49"/>
      <c r="AQ24" s="49"/>
      <c r="AR24" s="49"/>
      <c r="AS24" s="49"/>
      <c r="AT24" s="51">
        <f t="shared" si="4"/>
        <v>140.29999999994496</v>
      </c>
      <c r="AU24" s="39">
        <f t="shared" si="2"/>
        <v>71.275837491062418</v>
      </c>
      <c r="AV24" s="39">
        <f t="shared" si="5"/>
        <v>-71</v>
      </c>
      <c r="AW24" s="39">
        <f t="shared" si="6"/>
        <v>-71</v>
      </c>
      <c r="AX24" s="49">
        <f t="shared" si="7"/>
        <v>125.799623970864</v>
      </c>
      <c r="AY24" s="49">
        <f t="shared" si="8"/>
        <v>110.62779570071336</v>
      </c>
      <c r="AZ24" s="50">
        <f t="shared" si="9"/>
        <v>64.646951270262534</v>
      </c>
      <c r="BF24" s="24"/>
      <c r="BG24" s="24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ER24" s="25"/>
      <c r="ES24" s="25"/>
      <c r="EU24" s="25"/>
      <c r="EV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J24" s="25"/>
      <c r="FK24" s="25"/>
      <c r="FL24" s="25"/>
      <c r="FM24" s="25"/>
      <c r="FN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</row>
    <row r="25" spans="1:189" s="1" customFormat="1">
      <c r="A25" s="72" t="s">
        <v>1</v>
      </c>
      <c r="B25" s="6"/>
      <c r="C25" s="22">
        <f>1-C24</f>
        <v>0.4</v>
      </c>
      <c r="D25" s="22"/>
      <c r="E25" s="22">
        <f>1-E24</f>
        <v>0.6</v>
      </c>
      <c r="F25" s="20"/>
      <c r="G25" s="20"/>
      <c r="H25" s="20"/>
      <c r="I25" s="20"/>
      <c r="J25" s="20"/>
      <c r="K25" s="20"/>
      <c r="L25" s="20"/>
      <c r="M25" s="20"/>
      <c r="N25" s="20"/>
      <c r="O25" s="66"/>
      <c r="AC25" s="51">
        <f t="shared" si="3"/>
        <v>78</v>
      </c>
      <c r="AD25" s="39">
        <f t="shared" si="0"/>
        <v>22</v>
      </c>
      <c r="AE25" s="49">
        <f t="shared" si="1"/>
        <v>0.66985257806586573</v>
      </c>
      <c r="AF25" s="49">
        <f t="shared" si="10"/>
        <v>1.4937964665766568</v>
      </c>
      <c r="AG25" s="49"/>
      <c r="AH25" s="49"/>
      <c r="AI25" s="49"/>
      <c r="AJ25" s="49"/>
      <c r="AK25" s="49"/>
      <c r="AL25" s="50"/>
      <c r="AN25" s="61"/>
      <c r="AO25" s="49"/>
      <c r="AP25" s="49"/>
      <c r="AQ25" s="49"/>
      <c r="AR25" s="49"/>
      <c r="AS25" s="49"/>
      <c r="AT25" s="51">
        <f t="shared" si="4"/>
        <v>146.93333333327567</v>
      </c>
      <c r="AU25" s="39">
        <f t="shared" si="2"/>
        <v>68.058076225018524</v>
      </c>
      <c r="AV25" s="39">
        <f t="shared" si="5"/>
        <v>-74.5</v>
      </c>
      <c r="AW25" s="39">
        <f t="shared" si="6"/>
        <v>-74.5</v>
      </c>
      <c r="AX25" s="49">
        <f t="shared" si="7"/>
        <v>128.24443028062552</v>
      </c>
      <c r="AY25" s="49">
        <f t="shared" si="8"/>
        <v>113.8683462852435</v>
      </c>
      <c r="AZ25" s="50">
        <f t="shared" si="9"/>
        <v>59.845756064251077</v>
      </c>
      <c r="BF25" s="24"/>
      <c r="BG25" s="24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ER25" s="25"/>
      <c r="ES25" s="25"/>
      <c r="EU25" s="25"/>
      <c r="EV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J25" s="25"/>
      <c r="FK25" s="25"/>
      <c r="FL25" s="25"/>
      <c r="FM25" s="25"/>
      <c r="FN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</row>
    <row r="26" spans="1:189" s="1" customFormat="1">
      <c r="A26" s="72"/>
      <c r="B26" s="6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66"/>
      <c r="AC26" s="51">
        <f t="shared" si="3"/>
        <v>81.5</v>
      </c>
      <c r="AD26" s="39">
        <f t="shared" si="0"/>
        <v>18.5</v>
      </c>
      <c r="AE26" s="49">
        <f t="shared" si="1"/>
        <v>0.65244127771141747</v>
      </c>
      <c r="AF26" s="49">
        <f t="shared" si="10"/>
        <v>1.6010017579638878</v>
      </c>
      <c r="AG26" s="49"/>
      <c r="AH26" s="49"/>
      <c r="AI26" s="49"/>
      <c r="AJ26" s="49"/>
      <c r="AK26" s="49"/>
      <c r="AL26" s="50"/>
      <c r="AN26" s="61"/>
      <c r="AO26" s="49"/>
      <c r="AP26" s="49"/>
      <c r="AQ26" s="49"/>
      <c r="AR26" s="49"/>
      <c r="AS26" s="49"/>
      <c r="AT26" s="51">
        <f t="shared" si="4"/>
        <v>153.56666666660638</v>
      </c>
      <c r="AU26" s="39">
        <f t="shared" si="2"/>
        <v>65.11829824178028</v>
      </c>
      <c r="AV26" s="39">
        <f t="shared" si="5"/>
        <v>-78</v>
      </c>
      <c r="AW26" s="39">
        <f t="shared" si="6"/>
        <v>-78</v>
      </c>
      <c r="AX26" s="49">
        <f t="shared" si="7"/>
        <v>130.62125272284385</v>
      </c>
      <c r="AY26" s="49">
        <f t="shared" si="8"/>
        <v>117.04854282221199</v>
      </c>
      <c r="AZ26" s="50">
        <f t="shared" si="9"/>
        <v>54.772537107810763</v>
      </c>
      <c r="BF26" s="24"/>
      <c r="BG26" s="24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ER26" s="25"/>
      <c r="ES26" s="25"/>
      <c r="EU26" s="25"/>
      <c r="EV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J26" s="25"/>
      <c r="FK26" s="25"/>
      <c r="FL26" s="25"/>
      <c r="FM26" s="25"/>
      <c r="FN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</row>
    <row r="27" spans="1:189" s="1" customFormat="1">
      <c r="A27" s="90" t="s">
        <v>12</v>
      </c>
      <c r="B27" s="6"/>
      <c r="C27" s="30">
        <f>100/(60^C24*40^C25)</f>
        <v>1.9601317042077897</v>
      </c>
      <c r="D27" s="31"/>
      <c r="E27" s="30">
        <f>100/(40^E24*60^E25)</f>
        <v>1.9601317042077897</v>
      </c>
      <c r="F27" s="20"/>
      <c r="G27" s="20"/>
      <c r="H27" s="20"/>
      <c r="I27" s="20"/>
      <c r="J27" s="20"/>
      <c r="K27" s="20"/>
      <c r="L27" s="20"/>
      <c r="M27" s="20"/>
      <c r="N27" s="20"/>
      <c r="O27" s="66"/>
      <c r="AC27" s="51">
        <f t="shared" si="3"/>
        <v>85</v>
      </c>
      <c r="AD27" s="39">
        <f t="shared" si="0"/>
        <v>15</v>
      </c>
      <c r="AE27" s="49">
        <f t="shared" si="1"/>
        <v>0.63618677878247321</v>
      </c>
      <c r="AF27" s="49">
        <f t="shared" si="10"/>
        <v>1.7411011265922487</v>
      </c>
      <c r="AG27" s="49"/>
      <c r="AH27" s="49"/>
      <c r="AI27" s="49"/>
      <c r="AJ27" s="49"/>
      <c r="AK27" s="49"/>
      <c r="AL27" s="50"/>
      <c r="AN27" s="61"/>
      <c r="AO27" s="49"/>
      <c r="AP27" s="49"/>
      <c r="AQ27" s="49"/>
      <c r="AR27" s="49"/>
      <c r="AS27" s="49"/>
      <c r="AT27" s="51">
        <f t="shared" si="4"/>
        <v>160.19999999993709</v>
      </c>
      <c r="AU27" s="39">
        <f t="shared" si="2"/>
        <v>62.421972534307478</v>
      </c>
      <c r="AV27" s="39">
        <f t="shared" si="5"/>
        <v>-81.5</v>
      </c>
      <c r="AW27" s="39">
        <f t="shared" si="6"/>
        <v>-81.5</v>
      </c>
      <c r="AX27" s="49">
        <f t="shared" si="7"/>
        <v>132.93491033370134</v>
      </c>
      <c r="AY27" s="49">
        <f t="shared" si="8"/>
        <v>120.17214551987797</v>
      </c>
      <c r="AZ27" s="50">
        <f t="shared" si="9"/>
        <v>49.364220870553197</v>
      </c>
      <c r="BF27" s="24"/>
      <c r="BG27" s="24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ER27" s="25"/>
      <c r="ES27" s="25"/>
      <c r="EU27" s="25"/>
      <c r="EV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J27" s="25"/>
      <c r="FK27" s="25"/>
      <c r="FL27" s="25"/>
      <c r="FM27" s="25"/>
      <c r="FN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</row>
    <row r="28" spans="1:189" s="1" customFormat="1">
      <c r="A28" s="90"/>
      <c r="B28" s="6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66"/>
      <c r="AC28" s="51">
        <f t="shared" si="3"/>
        <v>88.5</v>
      </c>
      <c r="AD28" s="39">
        <f t="shared" si="0"/>
        <v>11.5</v>
      </c>
      <c r="AE28" s="49">
        <f t="shared" si="1"/>
        <v>0.62096916085546494</v>
      </c>
      <c r="AF28" s="49">
        <f t="shared" si="10"/>
        <v>1.9363388720269388</v>
      </c>
      <c r="AG28" s="49"/>
      <c r="AH28" s="49"/>
      <c r="AI28" s="49"/>
      <c r="AJ28" s="49"/>
      <c r="AK28" s="49"/>
      <c r="AL28" s="50"/>
      <c r="AN28" s="61"/>
      <c r="AO28" s="49"/>
      <c r="AP28" s="49"/>
      <c r="AQ28" s="49"/>
      <c r="AR28" s="49"/>
      <c r="AS28" s="49"/>
      <c r="AT28" s="51">
        <f t="shared" si="4"/>
        <v>166.8333333332678</v>
      </c>
      <c r="AU28" s="39">
        <f t="shared" si="2"/>
        <v>59.940059940036328</v>
      </c>
      <c r="AV28" s="39">
        <f t="shared" si="5"/>
        <v>-85</v>
      </c>
      <c r="AW28" s="39">
        <f t="shared" si="6"/>
        <v>-85</v>
      </c>
      <c r="AX28" s="49">
        <f t="shared" si="7"/>
        <v>135.18969049127563</v>
      </c>
      <c r="AY28" s="49">
        <f t="shared" si="8"/>
        <v>123.24252999781395</v>
      </c>
      <c r="AZ28" s="50">
        <f t="shared" si="9"/>
        <v>43.52752816480622</v>
      </c>
      <c r="BF28" s="24"/>
      <c r="BG28" s="24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ER28" s="25"/>
      <c r="ES28" s="25"/>
      <c r="EU28" s="25"/>
      <c r="EV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J28" s="25"/>
      <c r="FK28" s="25"/>
      <c r="FL28" s="25"/>
      <c r="FM28" s="25"/>
      <c r="FN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</row>
    <row r="29" spans="1:189" s="1" customFormat="1">
      <c r="A29" s="90" t="s">
        <v>17</v>
      </c>
      <c r="B29" s="6"/>
      <c r="C29" s="41">
        <f>100/200</f>
        <v>0.5</v>
      </c>
      <c r="D29" s="31"/>
      <c r="E29" s="41">
        <f>100/200</f>
        <v>0.5</v>
      </c>
      <c r="F29" s="20"/>
      <c r="G29" s="20"/>
      <c r="H29" s="20"/>
      <c r="I29" s="20"/>
      <c r="J29" s="20"/>
      <c r="K29" s="20"/>
      <c r="L29" s="20"/>
      <c r="M29" s="20"/>
      <c r="N29" s="20"/>
      <c r="O29" s="66"/>
      <c r="AC29" s="51">
        <f t="shared" si="3"/>
        <v>92</v>
      </c>
      <c r="AD29" s="39">
        <f t="shared" si="0"/>
        <v>8</v>
      </c>
      <c r="AE29" s="49">
        <f t="shared" si="1"/>
        <v>0.60668505732853906</v>
      </c>
      <c r="AF29" s="49">
        <f t="shared" si="10"/>
        <v>2.2388474634702153</v>
      </c>
      <c r="AG29" s="49"/>
      <c r="AH29" s="49"/>
      <c r="AI29" s="49"/>
      <c r="AJ29" s="49"/>
      <c r="AK29" s="49"/>
      <c r="AL29" s="50"/>
      <c r="AN29" s="61"/>
      <c r="AO29" s="49"/>
      <c r="AP29" s="49"/>
      <c r="AQ29" s="49"/>
      <c r="AR29" s="49"/>
      <c r="AS29" s="49"/>
      <c r="AT29" s="51">
        <f t="shared" si="4"/>
        <v>173.46666666659851</v>
      </c>
      <c r="AU29" s="39">
        <f t="shared" si="2"/>
        <v>57.647963105280915</v>
      </c>
      <c r="AV29" s="39">
        <f t="shared" si="5"/>
        <v>-88.5</v>
      </c>
      <c r="AW29" s="39">
        <f t="shared" si="6"/>
        <v>-88.5</v>
      </c>
      <c r="AX29" s="49">
        <f t="shared" si="7"/>
        <v>137.38942683927155</v>
      </c>
      <c r="AY29" s="49">
        <f t="shared" si="8"/>
        <v>126.2627407459305</v>
      </c>
      <c r="AZ29" s="50">
        <f t="shared" si="9"/>
        <v>37.113161713849664</v>
      </c>
      <c r="BF29" s="24"/>
      <c r="BG29" s="24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ER29" s="25"/>
      <c r="ES29" s="25"/>
      <c r="EU29" s="25"/>
      <c r="EV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J29" s="25"/>
      <c r="FK29" s="25"/>
      <c r="FL29" s="25"/>
      <c r="FM29" s="25"/>
      <c r="FN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</row>
    <row r="30" spans="1:189" s="1" customFormat="1">
      <c r="A30" s="73"/>
      <c r="B30" s="74"/>
      <c r="C30" s="75"/>
      <c r="D30" s="76"/>
      <c r="E30" s="75"/>
      <c r="F30" s="76"/>
      <c r="G30" s="76"/>
      <c r="H30" s="76"/>
      <c r="I30" s="76"/>
      <c r="J30" s="76"/>
      <c r="K30" s="76"/>
      <c r="L30" s="76"/>
      <c r="M30" s="76"/>
      <c r="N30" s="76"/>
      <c r="O30" s="77"/>
      <c r="AC30" s="51">
        <f t="shared" si="3"/>
        <v>95.5</v>
      </c>
      <c r="AD30" s="39">
        <f t="shared" si="0"/>
        <v>4.5</v>
      </c>
      <c r="AE30" s="49">
        <f t="shared" si="1"/>
        <v>0.59324484328139349</v>
      </c>
      <c r="AF30" s="49">
        <f t="shared" si="10"/>
        <v>2.8182239066086661</v>
      </c>
      <c r="AG30" s="49"/>
      <c r="AH30" s="49"/>
      <c r="AI30" s="49"/>
      <c r="AJ30" s="49"/>
      <c r="AK30" s="49"/>
      <c r="AL30" s="50"/>
      <c r="AN30" s="61"/>
      <c r="AO30" s="49"/>
      <c r="AP30" s="49"/>
      <c r="AQ30" s="49"/>
      <c r="AR30" s="49"/>
      <c r="AS30" s="49"/>
      <c r="AT30" s="51">
        <f t="shared" si="4"/>
        <v>180.09999999992922</v>
      </c>
      <c r="AU30" s="39">
        <f t="shared" si="2"/>
        <v>55.52470849525853</v>
      </c>
      <c r="AV30" s="39">
        <f t="shared" si="5"/>
        <v>-92</v>
      </c>
      <c r="AW30" s="39">
        <f t="shared" si="6"/>
        <v>-92</v>
      </c>
      <c r="AX30" s="49">
        <f t="shared" si="7"/>
        <v>139.53756318556401</v>
      </c>
      <c r="AY30" s="49">
        <f t="shared" si="8"/>
        <v>129.23553534276789</v>
      </c>
      <c r="AZ30" s="50">
        <f t="shared" si="9"/>
        <v>29.851299512936208</v>
      </c>
      <c r="BF30" s="24"/>
      <c r="BG30" s="24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ER30" s="25"/>
      <c r="ES30" s="25"/>
      <c r="EU30" s="25"/>
      <c r="EV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J30" s="25"/>
      <c r="FK30" s="25"/>
      <c r="FL30" s="25"/>
      <c r="FM30" s="25"/>
      <c r="FN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</row>
    <row r="31" spans="1:189" s="1" customFormat="1">
      <c r="A31" s="81"/>
      <c r="B31" s="80"/>
      <c r="C31" s="82"/>
      <c r="D31" s="81"/>
      <c r="E31" s="82"/>
      <c r="F31" s="81"/>
      <c r="G31" s="81"/>
      <c r="H31" s="81"/>
      <c r="I31" s="81"/>
      <c r="J31" s="81"/>
      <c r="K31" s="81"/>
      <c r="L31" s="81"/>
      <c r="M31" s="81"/>
      <c r="N31" s="81"/>
      <c r="O31" s="80"/>
      <c r="P31" s="94" t="s">
        <v>30</v>
      </c>
      <c r="Q31" s="95"/>
      <c r="R31" s="95"/>
      <c r="S31" s="95"/>
      <c r="T31" s="95"/>
      <c r="U31" s="95"/>
      <c r="V31" s="94" t="s">
        <v>31</v>
      </c>
      <c r="W31" s="94"/>
      <c r="X31" s="94"/>
      <c r="Y31" s="94"/>
      <c r="Z31" s="94"/>
      <c r="AA31" s="94"/>
      <c r="AC31" s="54">
        <f>M7-1</f>
        <v>99</v>
      </c>
      <c r="AD31" s="55">
        <f t="shared" si="0"/>
        <v>1</v>
      </c>
      <c r="AE31" s="56">
        <f t="shared" si="1"/>
        <v>0.58057038422117258</v>
      </c>
      <c r="AF31" s="56">
        <f t="shared" si="10"/>
        <v>5.143520796755042</v>
      </c>
      <c r="AG31" s="56"/>
      <c r="AH31" s="56"/>
      <c r="AI31" s="56"/>
      <c r="AJ31" s="56"/>
      <c r="AK31" s="56"/>
      <c r="AL31" s="57"/>
      <c r="AN31" s="61"/>
      <c r="AO31" s="49"/>
      <c r="AP31" s="49"/>
      <c r="AQ31" s="49"/>
      <c r="AR31" s="49"/>
      <c r="AS31" s="49"/>
      <c r="AT31" s="51">
        <f t="shared" si="4"/>
        <v>186.73333333325994</v>
      </c>
      <c r="AU31" s="39">
        <f t="shared" si="2"/>
        <v>53.552302748997128</v>
      </c>
      <c r="AV31" s="39">
        <f t="shared" si="5"/>
        <v>-95.5</v>
      </c>
      <c r="AW31" s="39">
        <f t="shared" si="6"/>
        <v>-95.5</v>
      </c>
      <c r="AX31" s="49">
        <f t="shared" si="7"/>
        <v>141.63720633343269</v>
      </c>
      <c r="AY31" s="49">
        <f t="shared" si="8"/>
        <v>132.16342131965513</v>
      </c>
      <c r="AZ31" s="50">
        <f t="shared" si="9"/>
        <v>21.136679299564999</v>
      </c>
      <c r="BF31" s="24"/>
      <c r="BG31" s="24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ER31" s="25"/>
      <c r="ES31" s="25"/>
      <c r="EU31" s="25"/>
      <c r="EV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J31" s="25"/>
      <c r="FK31" s="25"/>
      <c r="FL31" s="25"/>
      <c r="FM31" s="25"/>
      <c r="FN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</row>
    <row r="32" spans="1:189" s="1" customFormat="1" hidden="1">
      <c r="A32" s="23"/>
      <c r="C32" s="26"/>
      <c r="D32" s="24"/>
      <c r="E32" s="26"/>
      <c r="F32" s="24"/>
      <c r="G32" s="24"/>
      <c r="H32" s="24"/>
      <c r="I32" s="24"/>
      <c r="J32" s="24"/>
      <c r="K32" s="24"/>
      <c r="L32" s="24"/>
      <c r="M32" s="24"/>
      <c r="N32" s="24"/>
      <c r="AC32" s="24"/>
      <c r="AN32" s="61"/>
      <c r="AO32" s="49"/>
      <c r="AP32" s="49"/>
      <c r="AQ32" s="49"/>
      <c r="AR32" s="49"/>
      <c r="AS32" s="49"/>
      <c r="AT32" s="51">
        <f t="shared" si="4"/>
        <v>193.36666666659065</v>
      </c>
      <c r="AU32" s="39">
        <f t="shared" si="2"/>
        <v>51.715221513511793</v>
      </c>
      <c r="AV32" s="39">
        <f t="shared" si="5"/>
        <v>-99</v>
      </c>
      <c r="AW32" s="39">
        <f t="shared" si="6"/>
        <v>-99</v>
      </c>
      <c r="AX32" s="49">
        <f t="shared" si="7"/>
        <v>143.69117009474022</v>
      </c>
      <c r="AY32" s="49">
        <f t="shared" si="8"/>
        <v>135.0486871173961</v>
      </c>
      <c r="AZ32" s="50">
        <f t="shared" si="9"/>
        <v>8.5725346612584037</v>
      </c>
      <c r="BF32" s="24"/>
      <c r="BG32" s="24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ER32" s="25"/>
      <c r="ES32" s="25"/>
      <c r="EU32" s="25"/>
      <c r="EV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J32" s="25"/>
      <c r="FK32" s="25"/>
      <c r="FL32" s="25"/>
      <c r="FM32" s="25"/>
      <c r="FN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</row>
    <row r="33" spans="1:189" s="1" customFormat="1" hidden="1">
      <c r="AC33" s="24"/>
      <c r="AN33" s="62"/>
      <c r="AO33" s="56"/>
      <c r="AP33" s="56"/>
      <c r="AQ33" s="56"/>
      <c r="AR33" s="56"/>
      <c r="AS33" s="56"/>
      <c r="AT33" s="56">
        <f>C17/C15</f>
        <v>199.99999999992136</v>
      </c>
      <c r="AU33" s="39">
        <f t="shared" si="2"/>
        <v>49.999999999980332</v>
      </c>
      <c r="AV33" s="55">
        <f>-M7</f>
        <v>-100</v>
      </c>
      <c r="AW33" s="55">
        <f>-M7</f>
        <v>-100</v>
      </c>
      <c r="AX33" s="56">
        <f>$C$27*$M$7^$C$25*$C$6^$C$24</f>
        <v>144.26999059072139</v>
      </c>
      <c r="AY33" s="56">
        <f>$E$27*$M$7^$E$25*$E$6^$E$24</f>
        <v>135.86551826765384</v>
      </c>
      <c r="AZ33" s="57">
        <v>0</v>
      </c>
      <c r="BF33" s="24"/>
      <c r="BG33" s="24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ER33" s="25"/>
      <c r="ES33" s="25"/>
      <c r="EU33" s="25"/>
      <c r="EV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J33" s="25"/>
      <c r="FK33" s="25"/>
      <c r="FL33" s="25"/>
      <c r="FM33" s="25"/>
      <c r="FN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</row>
    <row r="34" spans="1:189" s="1" customFormat="1" hidden="1">
      <c r="A34" s="32"/>
      <c r="B34" s="2"/>
      <c r="E34" s="33"/>
      <c r="F34" s="2"/>
      <c r="G34" s="2"/>
      <c r="H34" s="2"/>
      <c r="I34" s="2"/>
      <c r="J34" s="2"/>
      <c r="K34" s="2"/>
      <c r="L34" s="2"/>
      <c r="M34" s="2"/>
      <c r="N34" s="2"/>
      <c r="O34" s="2"/>
      <c r="AC34" s="24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ER34" s="25"/>
      <c r="ES34" s="25"/>
      <c r="EU34" s="25"/>
      <c r="EV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J34" s="25"/>
      <c r="FK34" s="25"/>
      <c r="FL34" s="25"/>
      <c r="FM34" s="25"/>
      <c r="FN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</row>
    <row r="35" spans="1:189" hidden="1">
      <c r="A35" s="32"/>
      <c r="B35" s="2"/>
      <c r="D35" s="34"/>
      <c r="E35" s="33"/>
      <c r="AV35" s="1"/>
      <c r="AW35" s="1"/>
      <c r="AX35" s="1"/>
      <c r="AY35" s="1"/>
      <c r="AZ35" s="1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ER35" s="3"/>
      <c r="ES35" s="3"/>
      <c r="EU35" s="3"/>
      <c r="EV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J35" s="3"/>
      <c r="FK35" s="3"/>
      <c r="FL35" s="3"/>
      <c r="FM35" s="3"/>
      <c r="FN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</row>
    <row r="36" spans="1:189" hidden="1">
      <c r="A36" s="32"/>
      <c r="B36" s="2"/>
      <c r="D36" s="34"/>
      <c r="E36" s="3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ER36" s="3"/>
      <c r="ES36" s="3"/>
      <c r="EU36" s="3"/>
      <c r="EV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J36" s="3"/>
      <c r="FK36" s="3"/>
      <c r="FL36" s="3"/>
      <c r="FM36" s="3"/>
      <c r="FN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</row>
    <row r="37" spans="1:189" hidden="1">
      <c r="A37" s="32"/>
      <c r="B37" s="2"/>
      <c r="D37" s="34"/>
      <c r="E37" s="3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ER37" s="3"/>
      <c r="ES37" s="3"/>
      <c r="EU37" s="3"/>
      <c r="EV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J37" s="3"/>
      <c r="FK37" s="3"/>
      <c r="FL37" s="3"/>
      <c r="FM37" s="3"/>
      <c r="FN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</row>
    <row r="38" spans="1:189" hidden="1">
      <c r="A38" s="32"/>
      <c r="B38" s="2"/>
      <c r="D38" s="34"/>
      <c r="E38" s="3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ER38" s="3"/>
      <c r="ES38" s="3"/>
      <c r="EU38" s="3"/>
      <c r="EV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J38" s="3"/>
      <c r="FK38" s="3"/>
      <c r="FL38" s="3"/>
      <c r="FM38" s="3"/>
      <c r="FN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</row>
    <row r="39" spans="1:189" hidden="1">
      <c r="A39" s="32"/>
      <c r="B39" s="2"/>
      <c r="D39" s="34"/>
      <c r="E39" s="3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ER39" s="3"/>
      <c r="ES39" s="3"/>
      <c r="EU39" s="3"/>
      <c r="EV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J39" s="3"/>
      <c r="FK39" s="3"/>
      <c r="FL39" s="3"/>
      <c r="FM39" s="3"/>
      <c r="FN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</row>
    <row r="40" spans="1:189" hidden="1">
      <c r="A40" s="32"/>
      <c r="B40" s="2"/>
      <c r="D40" s="34"/>
      <c r="CD40" s="3"/>
      <c r="CE40" s="27"/>
      <c r="CG40" s="3"/>
      <c r="CH40" s="28"/>
      <c r="CS40" s="3"/>
      <c r="CV40" s="3"/>
      <c r="DH40" s="3"/>
      <c r="DI40" s="3"/>
      <c r="DK40" s="3"/>
      <c r="DL40" s="3"/>
      <c r="ER40" s="3"/>
      <c r="ES40" s="3"/>
      <c r="EU40" s="3"/>
      <c r="EV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J40" s="3"/>
      <c r="FK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</row>
  </sheetData>
  <mergeCells count="3">
    <mergeCell ref="H4:J4"/>
    <mergeCell ref="P31:U31"/>
    <mergeCell ref="V31:AA31"/>
  </mergeCells>
  <phoneticPr fontId="0" type="noConversion"/>
  <pageMargins left="0.75" right="0.75" top="1" bottom="1" header="0.5" footer="0.5"/>
  <pageSetup orientation="portrait" r:id="rId1"/>
  <headerFooter alignWithMargins="0"/>
  <ignoredErrors>
    <ignoredError sqref="E29 C29 C24 C27 E24 E2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</vt:lpstr>
      <vt:lpstr>Model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jgilbert</dc:creator>
  <cp:lastModifiedBy>jgilbert</cp:lastModifiedBy>
  <dcterms:created xsi:type="dcterms:W3CDTF">2003-01-17T04:47:49Z</dcterms:created>
  <dcterms:modified xsi:type="dcterms:W3CDTF">2010-01-19T22:45:23Z</dcterms:modified>
</cp:coreProperties>
</file>