
<file path=[Content_Types].xml><?xml version="1.0" encoding="utf-8"?>
<Types xmlns="http://schemas.openxmlformats.org/package/2006/content-types">
  <Default Extension="png" ContentType="image/png"/>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360" yWindow="135" windowWidth="9420" windowHeight="6495" tabRatio="869"/>
  </bookViews>
  <sheets>
    <sheet name="Guide" sheetId="8" r:id="rId1"/>
    <sheet name="Model" sheetId="7" r:id="rId2"/>
    <sheet name="Exercises" sheetId="9" r:id="rId3"/>
  </sheets>
  <definedNames>
    <definedName name="solver_cvg" localSheetId="1" hidden="1">0.0001</definedName>
    <definedName name="solver_drv" localSheetId="1" hidden="1">1</definedName>
    <definedName name="solver_est" localSheetId="1" hidden="1">1</definedName>
    <definedName name="solver_itr" localSheetId="1" hidden="1">100</definedName>
    <definedName name="solver_lhs1" localSheetId="1" hidden="1">Model!$E$20</definedName>
    <definedName name="solver_lhs10" localSheetId="1" hidden="1">Model!$F$12</definedName>
    <definedName name="solver_lhs11" localSheetId="1" hidden="1">Model!$E$15</definedName>
    <definedName name="solver_lhs12" localSheetId="1" hidden="1">Model!$E$4</definedName>
    <definedName name="solver_lhs13" localSheetId="1" hidden="1">Model!$F$15</definedName>
    <definedName name="solver_lhs14" localSheetId="1" hidden="1">Model!$E$15</definedName>
    <definedName name="solver_lhs15" localSheetId="1" hidden="1">Model!$F$15</definedName>
    <definedName name="solver_lhs16" localSheetId="1" hidden="1">Model!$F$9</definedName>
    <definedName name="solver_lhs17" localSheetId="1" hidden="1">Model!$F$5</definedName>
    <definedName name="solver_lhs18" localSheetId="1" hidden="1">Model!$I$5</definedName>
    <definedName name="solver_lhs19" localSheetId="1" hidden="1">Model!$F$9</definedName>
    <definedName name="solver_lhs2" localSheetId="1" hidden="1">Model!$F$4</definedName>
    <definedName name="solver_lhs20" localSheetId="1" hidden="1">Model!$F$9</definedName>
    <definedName name="solver_lhs21" localSheetId="1" hidden="1">Model!$F$9</definedName>
    <definedName name="solver_lhs22" localSheetId="1" hidden="1">Model!$F$12</definedName>
    <definedName name="solver_lhs23" localSheetId="1" hidden="1">Model!$F$12</definedName>
    <definedName name="solver_lhs24" localSheetId="1" hidden="1">Model!$E$20</definedName>
    <definedName name="solver_lhs3" localSheetId="1" hidden="1">Model!$E$5</definedName>
    <definedName name="solver_lhs4" localSheetId="1" hidden="1">Model!$F$5</definedName>
    <definedName name="solver_lhs5" localSheetId="1" hidden="1">Model!$L$4</definedName>
    <definedName name="solver_lhs6" localSheetId="1" hidden="1">Model!$L$5</definedName>
    <definedName name="solver_lhs7" localSheetId="1" hidden="1">Model!$E$9</definedName>
    <definedName name="solver_lhs8" localSheetId="1" hidden="1">Model!$F$9</definedName>
    <definedName name="solver_lhs9" localSheetId="1" hidden="1">Model!$E$12</definedName>
    <definedName name="solver_lin" localSheetId="1" hidden="1">2</definedName>
    <definedName name="solver_neg" localSheetId="1" hidden="1">2</definedName>
    <definedName name="solver_num" localSheetId="1" hidden="1">0</definedName>
    <definedName name="solver_nwt" localSheetId="1" hidden="1">1</definedName>
    <definedName name="solver_pre" localSheetId="1" hidden="1">0.000001</definedName>
    <definedName name="solver_rel1" localSheetId="1" hidden="1">2</definedName>
    <definedName name="solver_rel10" localSheetId="1" hidden="1">2</definedName>
    <definedName name="solver_rel11" localSheetId="1" hidden="1">2</definedName>
    <definedName name="solver_rel12" localSheetId="1" hidden="1">2</definedName>
    <definedName name="solver_rel13" localSheetId="1" hidden="1">2</definedName>
    <definedName name="solver_rel14" localSheetId="1" hidden="1">3</definedName>
    <definedName name="solver_rel15" localSheetId="1" hidden="1">3</definedName>
    <definedName name="solver_rel16" localSheetId="1" hidden="1">3</definedName>
    <definedName name="solver_rel17" localSheetId="1" hidden="1">3</definedName>
    <definedName name="solver_rel18" localSheetId="1" hidden="1">3</definedName>
    <definedName name="solver_rel19" localSheetId="1" hidden="1">3</definedName>
    <definedName name="solver_rel2" localSheetId="1" hidden="1">2</definedName>
    <definedName name="solver_rel20" localSheetId="1" hidden="1">3</definedName>
    <definedName name="solver_rel21" localSheetId="1" hidden="1">3</definedName>
    <definedName name="solver_rel22" localSheetId="1" hidden="1">3</definedName>
    <definedName name="solver_rel23" localSheetId="1" hidden="1">3</definedName>
    <definedName name="solver_rel24" localSheetId="1" hidden="1">3</definedName>
    <definedName name="solver_rel3" localSheetId="1" hidden="1">2</definedName>
    <definedName name="solver_rel4" localSheetId="1" hidden="1">2</definedName>
    <definedName name="solver_rel5" localSheetId="1" hidden="1">2</definedName>
    <definedName name="solver_rel6" localSheetId="1" hidden="1">2</definedName>
    <definedName name="solver_rel7" localSheetId="1" hidden="1">2</definedName>
    <definedName name="solver_rel8" localSheetId="1" hidden="1">2</definedName>
    <definedName name="solver_rel9" localSheetId="1" hidden="1">2</definedName>
    <definedName name="solver_rhs1" localSheetId="1" hidden="1">Model!#REF!</definedName>
    <definedName name="solver_rhs10" localSheetId="1" hidden="1">Model!#REF!</definedName>
    <definedName name="solver_rhs11" localSheetId="1" hidden="1">Model!#REF!</definedName>
    <definedName name="solver_rhs12" localSheetId="1" hidden="1">Model!#REF!</definedName>
    <definedName name="solver_rhs13" localSheetId="1" hidden="1">Model!#REF!</definedName>
    <definedName name="solver_rhs14" localSheetId="1" hidden="1">-500</definedName>
    <definedName name="solver_rhs15" localSheetId="1" hidden="1">-500</definedName>
    <definedName name="solver_rhs16" localSheetId="1" hidden="1">0.0001</definedName>
    <definedName name="solver_rhs17" localSheetId="1" hidden="1">0.0001</definedName>
    <definedName name="solver_rhs18" localSheetId="1" hidden="1">0.0001</definedName>
    <definedName name="solver_rhs19" localSheetId="1" hidden="1">0.0001</definedName>
    <definedName name="solver_rhs2" localSheetId="1" hidden="1">Model!#REF!</definedName>
    <definedName name="solver_rhs20" localSheetId="1" hidden="1">0.0001</definedName>
    <definedName name="solver_rhs21" localSheetId="1" hidden="1">0.0001</definedName>
    <definedName name="solver_rhs22" localSheetId="1" hidden="1">0.0001</definedName>
    <definedName name="solver_rhs23" localSheetId="1" hidden="1">0.0001</definedName>
    <definedName name="solver_rhs24" localSheetId="1" hidden="1">0.0001</definedName>
    <definedName name="solver_rhs3" localSheetId="1" hidden="1">Model!#REF!</definedName>
    <definedName name="solver_rhs4" localSheetId="1" hidden="1">Model!#REF!</definedName>
    <definedName name="solver_rhs5" localSheetId="1" hidden="1">Model!#REF!</definedName>
    <definedName name="solver_rhs6" localSheetId="1" hidden="1">Model!#REF!</definedName>
    <definedName name="solver_rhs7" localSheetId="1" hidden="1">Model!#REF!</definedName>
    <definedName name="solver_rhs8" localSheetId="1" hidden="1">Model!#REF!</definedName>
    <definedName name="solver_rhs9" localSheetId="1" hidden="1">Model!#REF!</definedName>
    <definedName name="solver_scl" localSheetId="1" hidden="1">2</definedName>
    <definedName name="solver_sho" localSheetId="1" hidden="1">2</definedName>
    <definedName name="solver_tim" localSheetId="1" hidden="1">100</definedName>
    <definedName name="solver_tol" localSheetId="1" hidden="1">0.05</definedName>
    <definedName name="solver_typ" localSheetId="1" hidden="1">1</definedName>
    <definedName name="solver_val" localSheetId="1" hidden="1">0</definedName>
  </definedNames>
  <calcPr calcId="125725"/>
</workbook>
</file>

<file path=xl/calcChain.xml><?xml version="1.0" encoding="utf-8"?>
<calcChain xmlns="http://schemas.openxmlformats.org/spreadsheetml/2006/main">
  <c r="AN68" i="7"/>
  <c r="AH68"/>
  <c r="AN61"/>
  <c r="AP61"/>
  <c r="AN62"/>
  <c r="BG96"/>
  <c r="AW61"/>
  <c r="AJ61"/>
  <c r="AH61"/>
  <c r="AH62"/>
  <c r="F7"/>
  <c r="F6"/>
  <c r="E7"/>
  <c r="E6"/>
  <c r="M17"/>
  <c r="L17"/>
  <c r="M22"/>
  <c r="F16"/>
  <c r="E16"/>
  <c r="F13"/>
  <c r="BK66"/>
  <c r="BK67"/>
  <c r="E13"/>
  <c r="F10"/>
  <c r="E10"/>
  <c r="AH5"/>
  <c r="AH6"/>
  <c r="F18"/>
  <c r="EM81"/>
  <c r="EK81"/>
  <c r="EN46"/>
  <c r="EL46"/>
  <c r="DB5"/>
  <c r="DA6"/>
  <c r="E18"/>
  <c r="M18"/>
  <c r="EI5"/>
  <c r="L18"/>
  <c r="EP81"/>
  <c r="EL5"/>
  <c r="DN40"/>
  <c r="DO5"/>
  <c r="EK40"/>
  <c r="EM40"/>
  <c r="EN5"/>
  <c r="DP40"/>
  <c r="DH40"/>
  <c r="DH6"/>
  <c r="DH7"/>
  <c r="DH8"/>
  <c r="DH9"/>
  <c r="DH10"/>
  <c r="DH11"/>
  <c r="DH12"/>
  <c r="DH13"/>
  <c r="DH14"/>
  <c r="DH15"/>
  <c r="DH16"/>
  <c r="DH17"/>
  <c r="DH18"/>
  <c r="DH19"/>
  <c r="DH20"/>
  <c r="DH21"/>
  <c r="DH22"/>
  <c r="DH23"/>
  <c r="DH24"/>
  <c r="DH25"/>
  <c r="DH26"/>
  <c r="DH27"/>
  <c r="DH28"/>
  <c r="DH29"/>
  <c r="DH30"/>
  <c r="DH31"/>
  <c r="DH32"/>
  <c r="DH33"/>
  <c r="DH34"/>
  <c r="DH35"/>
  <c r="DH36"/>
  <c r="DH37"/>
  <c r="DH38"/>
  <c r="DH39"/>
  <c r="DE40"/>
  <c r="BU40"/>
  <c r="BR40"/>
  <c r="DD5"/>
  <c r="BT5"/>
  <c r="BQ5"/>
  <c r="CP6"/>
  <c r="CO6"/>
  <c r="CM6"/>
  <c r="CL6"/>
  <c r="CJ6"/>
  <c r="CI6"/>
  <c r="DQ5"/>
  <c r="CV5"/>
  <c r="CU5"/>
  <c r="CO5"/>
  <c r="CM5"/>
  <c r="M24"/>
  <c r="EI7"/>
  <c r="EI15"/>
  <c r="EI23"/>
  <c r="EI31"/>
  <c r="EI39"/>
  <c r="EI8"/>
  <c r="EI16"/>
  <c r="EI24"/>
  <c r="EI32"/>
  <c r="EQ5"/>
  <c r="BG61"/>
  <c r="DL35"/>
  <c r="DL31"/>
  <c r="DL27"/>
  <c r="DL23"/>
  <c r="DL19"/>
  <c r="DL15"/>
  <c r="DL11"/>
  <c r="DL7"/>
  <c r="DL40"/>
  <c r="EI13"/>
  <c r="EI21"/>
  <c r="EI29"/>
  <c r="EI37"/>
  <c r="EI6"/>
  <c r="EI14"/>
  <c r="EI22"/>
  <c r="EI30"/>
  <c r="EI38"/>
  <c r="DL38"/>
  <c r="DL34"/>
  <c r="DL30"/>
  <c r="DL26"/>
  <c r="DL22"/>
  <c r="DL18"/>
  <c r="DL14"/>
  <c r="DL10"/>
  <c r="DT5"/>
  <c r="EI46"/>
  <c r="EH47"/>
  <c r="EH48"/>
  <c r="EH49"/>
  <c r="EH50"/>
  <c r="EH51"/>
  <c r="EH52"/>
  <c r="EH53"/>
  <c r="EH54"/>
  <c r="EH55"/>
  <c r="EH56"/>
  <c r="EH57"/>
  <c r="EH58"/>
  <c r="EH59"/>
  <c r="EH60"/>
  <c r="EH61"/>
  <c r="EH62"/>
  <c r="EH63"/>
  <c r="EH64"/>
  <c r="EH65"/>
  <c r="EH66"/>
  <c r="EH67"/>
  <c r="EH68"/>
  <c r="EH69"/>
  <c r="EH70"/>
  <c r="EH71"/>
  <c r="EH72"/>
  <c r="EH73"/>
  <c r="EH74"/>
  <c r="EH75"/>
  <c r="EH76"/>
  <c r="EH77"/>
  <c r="EH78"/>
  <c r="EH79"/>
  <c r="EH80"/>
  <c r="EH81"/>
  <c r="EJ81"/>
  <c r="EH46"/>
  <c r="EJ46"/>
  <c r="EQ46"/>
  <c r="EI47"/>
  <c r="EI48"/>
  <c r="EI49"/>
  <c r="EI50"/>
  <c r="EI51"/>
  <c r="EI52"/>
  <c r="EI53"/>
  <c r="EI54"/>
  <c r="EI55"/>
  <c r="EI56"/>
  <c r="EI57"/>
  <c r="EI58"/>
  <c r="EI59"/>
  <c r="EI60"/>
  <c r="EI61"/>
  <c r="EI62"/>
  <c r="EI63"/>
  <c r="EI64"/>
  <c r="EI65"/>
  <c r="EI66"/>
  <c r="EI67"/>
  <c r="EI68"/>
  <c r="EI69"/>
  <c r="EI70"/>
  <c r="EI71"/>
  <c r="EI72"/>
  <c r="EI73"/>
  <c r="EI74"/>
  <c r="EI75"/>
  <c r="EI76"/>
  <c r="EI77"/>
  <c r="EI78"/>
  <c r="EI79"/>
  <c r="EI80"/>
  <c r="EI81"/>
  <c r="DL6"/>
  <c r="DL8"/>
  <c r="DL12"/>
  <c r="DL16"/>
  <c r="DL20"/>
  <c r="DL24"/>
  <c r="DL28"/>
  <c r="DL32"/>
  <c r="DL36"/>
  <c r="DL39"/>
  <c r="EI34"/>
  <c r="EI26"/>
  <c r="EI18"/>
  <c r="EI10"/>
  <c r="EI40"/>
  <c r="EI33"/>
  <c r="EI25"/>
  <c r="EI17"/>
  <c r="EI9"/>
  <c r="DL9"/>
  <c r="DL13"/>
  <c r="DL17"/>
  <c r="DL21"/>
  <c r="DL25"/>
  <c r="DL29"/>
  <c r="DL33"/>
  <c r="DL37"/>
  <c r="EI36"/>
  <c r="EI28"/>
  <c r="EI20"/>
  <c r="EI12"/>
  <c r="DL5"/>
  <c r="EI35"/>
  <c r="EI27"/>
  <c r="EI19"/>
  <c r="EI11"/>
  <c r="EJ5"/>
  <c r="EJ40"/>
  <c r="DM5"/>
  <c r="DK33"/>
  <c r="DM40"/>
  <c r="L24"/>
  <c r="EH33"/>
  <c r="DK8"/>
  <c r="EH19"/>
  <c r="DK36"/>
  <c r="EH13"/>
  <c r="DK9"/>
  <c r="EH36"/>
  <c r="DK21"/>
  <c r="EH22"/>
  <c r="DK35"/>
  <c r="DK40"/>
  <c r="DK18"/>
  <c r="DJ40"/>
  <c r="EH20"/>
  <c r="EH17"/>
  <c r="DK37"/>
  <c r="DK6"/>
  <c r="DK10"/>
  <c r="EH38"/>
  <c r="EH35"/>
  <c r="DK19"/>
  <c r="DK38"/>
  <c r="EH16"/>
  <c r="DS40"/>
  <c r="EH37"/>
  <c r="DK17"/>
  <c r="DK32"/>
  <c r="EH26"/>
  <c r="EH7"/>
  <c r="EH23"/>
  <c r="EH39"/>
  <c r="DK31"/>
  <c r="DK15"/>
  <c r="DK28"/>
  <c r="DK30"/>
  <c r="DK14"/>
  <c r="EH8"/>
  <c r="EH6"/>
  <c r="EH34"/>
  <c r="EH15"/>
  <c r="EH31"/>
  <c r="DK39"/>
  <c r="DK23"/>
  <c r="DK7"/>
  <c r="DK12"/>
  <c r="DK22"/>
  <c r="DK5"/>
  <c r="DJ5"/>
  <c r="DJ6"/>
  <c r="EH10"/>
  <c r="EH28"/>
  <c r="EH9"/>
  <c r="EH25"/>
  <c r="EH40"/>
  <c r="EF40"/>
  <c r="DK29"/>
  <c r="DK13"/>
  <c r="DK24"/>
  <c r="DK26"/>
  <c r="EH14"/>
  <c r="EH30"/>
  <c r="EH11"/>
  <c r="EH27"/>
  <c r="EP40"/>
  <c r="AW96"/>
  <c r="DK27"/>
  <c r="DK11"/>
  <c r="DK20"/>
  <c r="EH12"/>
  <c r="EH32"/>
  <c r="EH29"/>
  <c r="EH5"/>
  <c r="EH24"/>
  <c r="DK25"/>
  <c r="EH21"/>
  <c r="DK16"/>
  <c r="EH18"/>
  <c r="DK34"/>
  <c r="L22"/>
  <c r="BB40"/>
  <c r="AJ40"/>
  <c r="BC5"/>
  <c r="BC6"/>
  <c r="BK62"/>
  <c r="BK63"/>
  <c r="EF46"/>
  <c r="EF5"/>
  <c r="AK5"/>
  <c r="AK6"/>
  <c r="EG5"/>
  <c r="EG40"/>
  <c r="AT96"/>
  <c r="AU96"/>
  <c r="BB6"/>
  <c r="BC7"/>
  <c r="BD61"/>
  <c r="AT61"/>
  <c r="AU61"/>
  <c r="ER5"/>
  <c r="EF6"/>
  <c r="EG6"/>
  <c r="AJ6"/>
  <c r="AK7"/>
  <c r="DJ7"/>
  <c r="DM6"/>
  <c r="BD96"/>
  <c r="ER40"/>
  <c r="ET40"/>
  <c r="EV40"/>
  <c r="DN6"/>
  <c r="AK8"/>
  <c r="AJ7"/>
  <c r="EG7"/>
  <c r="EF7"/>
  <c r="BD62"/>
  <c r="AT62"/>
  <c r="AU62"/>
  <c r="EJ6"/>
  <c r="ET5"/>
  <c r="EV5"/>
  <c r="ES5"/>
  <c r="EU5"/>
  <c r="DM7"/>
  <c r="DJ8"/>
  <c r="BB7"/>
  <c r="BC8"/>
  <c r="ES40"/>
  <c r="EU40"/>
  <c r="BC9"/>
  <c r="BB8"/>
  <c r="DM8"/>
  <c r="DJ9"/>
  <c r="EK6"/>
  <c r="EM6"/>
  <c r="EN6"/>
  <c r="BD63"/>
  <c r="AT63"/>
  <c r="AU63"/>
  <c r="EJ7"/>
  <c r="EG8"/>
  <c r="EF8"/>
  <c r="AJ8"/>
  <c r="AK9"/>
  <c r="DO6"/>
  <c r="DN7"/>
  <c r="DP6"/>
  <c r="DQ6"/>
  <c r="DO7"/>
  <c r="AJ9"/>
  <c r="AK10"/>
  <c r="EF9"/>
  <c r="AT64"/>
  <c r="AU64"/>
  <c r="EG9"/>
  <c r="BD64"/>
  <c r="EJ8"/>
  <c r="DJ10"/>
  <c r="DM9"/>
  <c r="EK7"/>
  <c r="EP6"/>
  <c r="EL6"/>
  <c r="EQ6"/>
  <c r="BG62"/>
  <c r="DN8"/>
  <c r="BB9"/>
  <c r="BC10"/>
  <c r="DS6"/>
  <c r="DP7"/>
  <c r="DQ7"/>
  <c r="DT6"/>
  <c r="DO8"/>
  <c r="AW62"/>
  <c r="ER6"/>
  <c r="EL7"/>
  <c r="DM10"/>
  <c r="DJ11"/>
  <c r="BC11"/>
  <c r="BB10"/>
  <c r="DN9"/>
  <c r="EK8"/>
  <c r="EM8"/>
  <c r="EN8"/>
  <c r="BD65"/>
  <c r="AT65"/>
  <c r="AU65"/>
  <c r="EJ9"/>
  <c r="EG10"/>
  <c r="EF10"/>
  <c r="AK11"/>
  <c r="AJ10"/>
  <c r="DS7"/>
  <c r="DP8"/>
  <c r="DQ8"/>
  <c r="EM7"/>
  <c r="EN7"/>
  <c r="DT7"/>
  <c r="DT8"/>
  <c r="AJ11"/>
  <c r="AK12"/>
  <c r="EK9"/>
  <c r="EM9"/>
  <c r="EN9"/>
  <c r="DO9"/>
  <c r="DM11"/>
  <c r="DJ12"/>
  <c r="ES6"/>
  <c r="EU6"/>
  <c r="ET6"/>
  <c r="EV6"/>
  <c r="BD66"/>
  <c r="AT66"/>
  <c r="AU66"/>
  <c r="EJ10"/>
  <c r="EG11"/>
  <c r="EF11"/>
  <c r="EP8"/>
  <c r="EL8"/>
  <c r="EQ8"/>
  <c r="BG64"/>
  <c r="BC12"/>
  <c r="BB11"/>
  <c r="DN10"/>
  <c r="DP10"/>
  <c r="DQ10"/>
  <c r="EP7"/>
  <c r="DP9"/>
  <c r="DQ9"/>
  <c r="EQ7"/>
  <c r="BG63"/>
  <c r="DS8"/>
  <c r="DT9"/>
  <c r="AW63"/>
  <c r="ER7"/>
  <c r="BC13"/>
  <c r="BB12"/>
  <c r="AW64"/>
  <c r="ER8"/>
  <c r="EK10"/>
  <c r="DM12"/>
  <c r="DJ13"/>
  <c r="DO10"/>
  <c r="DT10"/>
  <c r="DS10"/>
  <c r="EF12"/>
  <c r="AT67"/>
  <c r="AU67"/>
  <c r="EJ11"/>
  <c r="BD67"/>
  <c r="EG12"/>
  <c r="DN11"/>
  <c r="DP11"/>
  <c r="DQ11"/>
  <c r="EL9"/>
  <c r="EQ9"/>
  <c r="BG65"/>
  <c r="EP9"/>
  <c r="AJ12"/>
  <c r="AK13"/>
  <c r="DS9"/>
  <c r="DN12"/>
  <c r="EL10"/>
  <c r="ES7"/>
  <c r="EU7"/>
  <c r="ET7"/>
  <c r="EV7"/>
  <c r="AJ13"/>
  <c r="AK14"/>
  <c r="AW65"/>
  <c r="ER9"/>
  <c r="DO11"/>
  <c r="DT11"/>
  <c r="DS11"/>
  <c r="BD68"/>
  <c r="AT68"/>
  <c r="AU68"/>
  <c r="EJ12"/>
  <c r="EG13"/>
  <c r="EF13"/>
  <c r="EK11"/>
  <c r="EM11"/>
  <c r="EN11"/>
  <c r="DJ14"/>
  <c r="DM13"/>
  <c r="ES8"/>
  <c r="EU8"/>
  <c r="ET8"/>
  <c r="EV8"/>
  <c r="BC14"/>
  <c r="BB13"/>
  <c r="EM10"/>
  <c r="EN10"/>
  <c r="BC15"/>
  <c r="BB14"/>
  <c r="DJ15"/>
  <c r="DM14"/>
  <c r="EK12"/>
  <c r="AJ14"/>
  <c r="AK15"/>
  <c r="DO12"/>
  <c r="DN13"/>
  <c r="EL11"/>
  <c r="EQ11"/>
  <c r="BG67"/>
  <c r="EP11"/>
  <c r="EF14"/>
  <c r="BD69"/>
  <c r="EJ13"/>
  <c r="EG14"/>
  <c r="AT69"/>
  <c r="AU69"/>
  <c r="ES9"/>
  <c r="EU9"/>
  <c r="ET9"/>
  <c r="EV9"/>
  <c r="EP10"/>
  <c r="EQ10"/>
  <c r="BG66"/>
  <c r="DP12"/>
  <c r="DQ12"/>
  <c r="AW66"/>
  <c r="ER10"/>
  <c r="EK13"/>
  <c r="EM13"/>
  <c r="EN13"/>
  <c r="DO13"/>
  <c r="EL12"/>
  <c r="DM15"/>
  <c r="DJ16"/>
  <c r="BB15"/>
  <c r="BC16"/>
  <c r="BD70"/>
  <c r="AT70"/>
  <c r="AU70"/>
  <c r="EF15"/>
  <c r="EJ14"/>
  <c r="EG15"/>
  <c r="AW67"/>
  <c r="ER11"/>
  <c r="AJ15"/>
  <c r="AK16"/>
  <c r="DN14"/>
  <c r="DT12"/>
  <c r="DP13"/>
  <c r="DQ13"/>
  <c r="DS12"/>
  <c r="EM12"/>
  <c r="EN12"/>
  <c r="DO14"/>
  <c r="AJ16"/>
  <c r="AK17"/>
  <c r="ES11"/>
  <c r="EU11"/>
  <c r="ET11"/>
  <c r="EV11"/>
  <c r="BD71"/>
  <c r="BE71"/>
  <c r="AT71"/>
  <c r="AU71"/>
  <c r="EF16"/>
  <c r="EJ15"/>
  <c r="EG16"/>
  <c r="BC17"/>
  <c r="BB16"/>
  <c r="DJ17"/>
  <c r="DM16"/>
  <c r="ES10"/>
  <c r="EU10"/>
  <c r="ET10"/>
  <c r="EV10"/>
  <c r="EK14"/>
  <c r="EM14"/>
  <c r="EN14"/>
  <c r="DN15"/>
  <c r="DP15"/>
  <c r="DQ15"/>
  <c r="EP13"/>
  <c r="EL13"/>
  <c r="EQ13"/>
  <c r="BG69"/>
  <c r="EP12"/>
  <c r="DS13"/>
  <c r="DP14"/>
  <c r="DQ14"/>
  <c r="EQ12"/>
  <c r="BG68"/>
  <c r="DT13"/>
  <c r="DT14"/>
  <c r="DN16"/>
  <c r="EK15"/>
  <c r="AW68"/>
  <c r="ER12"/>
  <c r="AW69"/>
  <c r="ER13"/>
  <c r="DO15"/>
  <c r="DT15"/>
  <c r="DS15"/>
  <c r="EL14"/>
  <c r="EQ14"/>
  <c r="BG70"/>
  <c r="EP14"/>
  <c r="DJ18"/>
  <c r="DM17"/>
  <c r="BB17"/>
  <c r="BC18"/>
  <c r="BD72"/>
  <c r="BE72"/>
  <c r="AT72"/>
  <c r="AU72"/>
  <c r="EF17"/>
  <c r="EJ16"/>
  <c r="EG17"/>
  <c r="AK18"/>
  <c r="AJ17"/>
  <c r="DS14"/>
  <c r="AJ18"/>
  <c r="AK19"/>
  <c r="DM18"/>
  <c r="DJ19"/>
  <c r="ES12"/>
  <c r="EU12"/>
  <c r="ET12"/>
  <c r="EV12"/>
  <c r="EL15"/>
  <c r="DO16"/>
  <c r="EG18"/>
  <c r="BD73"/>
  <c r="AT73"/>
  <c r="AU73"/>
  <c r="EF18"/>
  <c r="EJ17"/>
  <c r="EK16"/>
  <c r="BC19"/>
  <c r="BB18"/>
  <c r="DN17"/>
  <c r="DP17"/>
  <c r="DQ17"/>
  <c r="AW70"/>
  <c r="ER14"/>
  <c r="ES13"/>
  <c r="EU13"/>
  <c r="ET13"/>
  <c r="EV13"/>
  <c r="EM15"/>
  <c r="EN15"/>
  <c r="DP16"/>
  <c r="DQ16"/>
  <c r="DS16"/>
  <c r="ES14"/>
  <c r="EU14"/>
  <c r="ET14"/>
  <c r="EV14"/>
  <c r="BC20"/>
  <c r="BB19"/>
  <c r="EL16"/>
  <c r="EK17"/>
  <c r="EM17"/>
  <c r="EN17"/>
  <c r="BD74"/>
  <c r="AT74"/>
  <c r="AU74"/>
  <c r="EJ18"/>
  <c r="EF19"/>
  <c r="EG19"/>
  <c r="DN18"/>
  <c r="DP18"/>
  <c r="DQ18"/>
  <c r="DO17"/>
  <c r="DT17"/>
  <c r="DS17"/>
  <c r="DM19"/>
  <c r="DJ20"/>
  <c r="AK20"/>
  <c r="AJ19"/>
  <c r="EP15"/>
  <c r="EM16"/>
  <c r="EN16"/>
  <c r="DT16"/>
  <c r="EQ15"/>
  <c r="BG71"/>
  <c r="AW71"/>
  <c r="ER15"/>
  <c r="AJ20"/>
  <c r="AK21"/>
  <c r="DN19"/>
  <c r="BD75"/>
  <c r="AT75"/>
  <c r="AU75"/>
  <c r="EJ19"/>
  <c r="EG20"/>
  <c r="EF20"/>
  <c r="EK18"/>
  <c r="BB20"/>
  <c r="BC21"/>
  <c r="DM20"/>
  <c r="DJ21"/>
  <c r="DO18"/>
  <c r="DT18"/>
  <c r="DS18"/>
  <c r="EL17"/>
  <c r="EQ17"/>
  <c r="BG73"/>
  <c r="EP17"/>
  <c r="EQ16"/>
  <c r="BG72"/>
  <c r="EP16"/>
  <c r="DN20"/>
  <c r="BB21"/>
  <c r="BC22"/>
  <c r="EL18"/>
  <c r="BD76"/>
  <c r="AT76"/>
  <c r="AU76"/>
  <c r="EG21"/>
  <c r="EJ20"/>
  <c r="EF21"/>
  <c r="DO19"/>
  <c r="AJ21"/>
  <c r="AK22"/>
  <c r="ET15"/>
  <c r="EV15"/>
  <c r="ES15"/>
  <c r="EU15"/>
  <c r="AW72"/>
  <c r="ER16"/>
  <c r="AW73"/>
  <c r="ER17"/>
  <c r="DM21"/>
  <c r="DJ22"/>
  <c r="EK19"/>
  <c r="EM18"/>
  <c r="EN18"/>
  <c r="DP19"/>
  <c r="DQ19"/>
  <c r="DT19"/>
  <c r="EL19"/>
  <c r="DN21"/>
  <c r="ET17"/>
  <c r="EV17"/>
  <c r="ES17"/>
  <c r="EU17"/>
  <c r="AK23"/>
  <c r="AJ22"/>
  <c r="EK20"/>
  <c r="BB22"/>
  <c r="BC23"/>
  <c r="DO20"/>
  <c r="DM22"/>
  <c r="DJ23"/>
  <c r="ET16"/>
  <c r="EV16"/>
  <c r="ES16"/>
  <c r="EU16"/>
  <c r="BD77"/>
  <c r="BE77"/>
  <c r="AT77"/>
  <c r="AU77"/>
  <c r="EF22"/>
  <c r="EJ21"/>
  <c r="EG22"/>
  <c r="EP18"/>
  <c r="EM19"/>
  <c r="EN19"/>
  <c r="DS19"/>
  <c r="EQ18"/>
  <c r="BG74"/>
  <c r="DP20"/>
  <c r="DQ20"/>
  <c r="EQ19"/>
  <c r="BG75"/>
  <c r="EK21"/>
  <c r="EM21"/>
  <c r="EN21"/>
  <c r="DJ24"/>
  <c r="DM23"/>
  <c r="BC24"/>
  <c r="BB23"/>
  <c r="EL20"/>
  <c r="DO21"/>
  <c r="AW74"/>
  <c r="ER18"/>
  <c r="BD78"/>
  <c r="BE78"/>
  <c r="AT78"/>
  <c r="AU78"/>
  <c r="EF23"/>
  <c r="EJ22"/>
  <c r="EG23"/>
  <c r="DN22"/>
  <c r="DP22"/>
  <c r="DQ22"/>
  <c r="AK24"/>
  <c r="AJ23"/>
  <c r="DS20"/>
  <c r="DT20"/>
  <c r="EM20"/>
  <c r="EN20"/>
  <c r="DP21"/>
  <c r="DQ21"/>
  <c r="EP19"/>
  <c r="DT21"/>
  <c r="AW75"/>
  <c r="ER19"/>
  <c r="EK22"/>
  <c r="EM22"/>
  <c r="EN22"/>
  <c r="ET18"/>
  <c r="EV18"/>
  <c r="ES18"/>
  <c r="EU18"/>
  <c r="BB24"/>
  <c r="BC25"/>
  <c r="DM24"/>
  <c r="DJ25"/>
  <c r="AJ24"/>
  <c r="AK25"/>
  <c r="DO22"/>
  <c r="DT22"/>
  <c r="DS22"/>
  <c r="EG24"/>
  <c r="BD79"/>
  <c r="AT79"/>
  <c r="AU79"/>
  <c r="EF24"/>
  <c r="EJ23"/>
  <c r="DN23"/>
  <c r="DP23"/>
  <c r="DQ23"/>
  <c r="EL21"/>
  <c r="EQ21"/>
  <c r="BG77"/>
  <c r="EP21"/>
  <c r="EQ20"/>
  <c r="BG76"/>
  <c r="DS21"/>
  <c r="EP20"/>
  <c r="AW77"/>
  <c r="ER21"/>
  <c r="EK23"/>
  <c r="EM23"/>
  <c r="EN23"/>
  <c r="DM25"/>
  <c r="DJ26"/>
  <c r="BC26"/>
  <c r="BB25"/>
  <c r="ET19"/>
  <c r="EV19"/>
  <c r="ES19"/>
  <c r="EU19"/>
  <c r="AW76"/>
  <c r="ER20"/>
  <c r="DO23"/>
  <c r="DT23"/>
  <c r="DS23"/>
  <c r="EF25"/>
  <c r="BD80"/>
  <c r="AT80"/>
  <c r="AU80"/>
  <c r="EJ24"/>
  <c r="EG25"/>
  <c r="AK26"/>
  <c r="AJ25"/>
  <c r="DN24"/>
  <c r="DP24"/>
  <c r="DQ24"/>
  <c r="EL22"/>
  <c r="EQ22"/>
  <c r="BG78"/>
  <c r="EP22"/>
  <c r="AW78"/>
  <c r="ER22"/>
  <c r="EJ25"/>
  <c r="EF26"/>
  <c r="BD81"/>
  <c r="BE81"/>
  <c r="AT81"/>
  <c r="AU81"/>
  <c r="EG26"/>
  <c r="ET20"/>
  <c r="EV20"/>
  <c r="ES20"/>
  <c r="EU20"/>
  <c r="BB26"/>
  <c r="BC27"/>
  <c r="DN25"/>
  <c r="ET21"/>
  <c r="EV21"/>
  <c r="ES21"/>
  <c r="EU21"/>
  <c r="DO24"/>
  <c r="DT24"/>
  <c r="DS24"/>
  <c r="AK27"/>
  <c r="AJ26"/>
  <c r="EK24"/>
  <c r="EM24"/>
  <c r="EN24"/>
  <c r="DJ27"/>
  <c r="DM26"/>
  <c r="EL23"/>
  <c r="EQ23"/>
  <c r="BG79"/>
  <c r="EP23"/>
  <c r="DM27"/>
  <c r="DJ28"/>
  <c r="AJ27"/>
  <c r="AK28"/>
  <c r="DO25"/>
  <c r="EG27"/>
  <c r="BD82"/>
  <c r="BE82"/>
  <c r="AT82"/>
  <c r="AU82"/>
  <c r="EJ26"/>
  <c r="EF27"/>
  <c r="EM25"/>
  <c r="EN25"/>
  <c r="EK25"/>
  <c r="AW79"/>
  <c r="ER23"/>
  <c r="DN26"/>
  <c r="DP26"/>
  <c r="DQ26"/>
  <c r="EL24"/>
  <c r="EQ24"/>
  <c r="BG80"/>
  <c r="EP24"/>
  <c r="BB27"/>
  <c r="BC28"/>
  <c r="ES22"/>
  <c r="EU22"/>
  <c r="ET22"/>
  <c r="EV22"/>
  <c r="DP25"/>
  <c r="DQ25"/>
  <c r="BB28"/>
  <c r="BC29"/>
  <c r="AW80"/>
  <c r="ER24"/>
  <c r="ES23"/>
  <c r="EU23"/>
  <c r="ET23"/>
  <c r="EV23"/>
  <c r="EK26"/>
  <c r="EM26"/>
  <c r="EN26"/>
  <c r="BD83"/>
  <c r="AT83"/>
  <c r="AU83"/>
  <c r="EF28"/>
  <c r="EG28"/>
  <c r="EJ27"/>
  <c r="DP27"/>
  <c r="DQ27"/>
  <c r="DN27"/>
  <c r="DO26"/>
  <c r="DT26"/>
  <c r="DS26"/>
  <c r="EL25"/>
  <c r="EQ25"/>
  <c r="BG81"/>
  <c r="EP25"/>
  <c r="AK29"/>
  <c r="AJ28"/>
  <c r="DM28"/>
  <c r="DJ29"/>
  <c r="DT25"/>
  <c r="DS25"/>
  <c r="DJ30"/>
  <c r="DM29"/>
  <c r="AW81"/>
  <c r="ER25"/>
  <c r="BD84"/>
  <c r="AT84"/>
  <c r="AU84"/>
  <c r="EG29"/>
  <c r="EF29"/>
  <c r="EJ28"/>
  <c r="ES24"/>
  <c r="EU24"/>
  <c r="ET24"/>
  <c r="EV24"/>
  <c r="DN28"/>
  <c r="AK30"/>
  <c r="AJ29"/>
  <c r="DS27"/>
  <c r="DO27"/>
  <c r="DT27"/>
  <c r="EK27"/>
  <c r="EM27"/>
  <c r="EN27"/>
  <c r="EP26"/>
  <c r="EL26"/>
  <c r="EQ26"/>
  <c r="BG82"/>
  <c r="BB29"/>
  <c r="BC30"/>
  <c r="AW82"/>
  <c r="ER26"/>
  <c r="AK31"/>
  <c r="AJ30"/>
  <c r="DO28"/>
  <c r="EK28"/>
  <c r="EM28"/>
  <c r="EN28"/>
  <c r="EJ29"/>
  <c r="BD85"/>
  <c r="AT85"/>
  <c r="AU85"/>
  <c r="EG30"/>
  <c r="EF30"/>
  <c r="ES25"/>
  <c r="EU25"/>
  <c r="ET25"/>
  <c r="EV25"/>
  <c r="DJ31"/>
  <c r="DM30"/>
  <c r="BB30"/>
  <c r="BC31"/>
  <c r="EL27"/>
  <c r="EQ27"/>
  <c r="BG83"/>
  <c r="EP27"/>
  <c r="DN29"/>
  <c r="DP29"/>
  <c r="DQ29"/>
  <c r="DP28"/>
  <c r="DQ28"/>
  <c r="AW83"/>
  <c r="ER27"/>
  <c r="BB31"/>
  <c r="BC32"/>
  <c r="DN30"/>
  <c r="ES26"/>
  <c r="EU26"/>
  <c r="ET26"/>
  <c r="EV26"/>
  <c r="DS29"/>
  <c r="DO29"/>
  <c r="DT29"/>
  <c r="DM31"/>
  <c r="DJ32"/>
  <c r="EJ30"/>
  <c r="BD86"/>
  <c r="AT86"/>
  <c r="AU86"/>
  <c r="EG31"/>
  <c r="EF31"/>
  <c r="EK29"/>
  <c r="EL28"/>
  <c r="EQ28"/>
  <c r="BG84"/>
  <c r="EP28"/>
  <c r="AK32"/>
  <c r="AJ31"/>
  <c r="DS28"/>
  <c r="DT28"/>
  <c r="AK33"/>
  <c r="AJ32"/>
  <c r="EL29"/>
  <c r="BD87"/>
  <c r="AT87"/>
  <c r="AU87"/>
  <c r="EF32"/>
  <c r="EJ31"/>
  <c r="EG32"/>
  <c r="EK30"/>
  <c r="DN31"/>
  <c r="DO30"/>
  <c r="BB32"/>
  <c r="BC33"/>
  <c r="ET27"/>
  <c r="EV27"/>
  <c r="ES27"/>
  <c r="EU27"/>
  <c r="AW84"/>
  <c r="ER28"/>
  <c r="DJ33"/>
  <c r="DM32"/>
  <c r="EM29"/>
  <c r="EN29"/>
  <c r="DP30"/>
  <c r="DQ30"/>
  <c r="EQ29"/>
  <c r="BG85"/>
  <c r="DN32"/>
  <c r="DP32"/>
  <c r="DQ32"/>
  <c r="ET28"/>
  <c r="EV28"/>
  <c r="ES28"/>
  <c r="EU28"/>
  <c r="DO31"/>
  <c r="EL30"/>
  <c r="EG33"/>
  <c r="BD88"/>
  <c r="AT88"/>
  <c r="AU88"/>
  <c r="EJ32"/>
  <c r="EF33"/>
  <c r="DM33"/>
  <c r="DJ34"/>
  <c r="BB33"/>
  <c r="BC34"/>
  <c r="EK31"/>
  <c r="AK34"/>
  <c r="AJ33"/>
  <c r="DT30"/>
  <c r="DS30"/>
  <c r="DP31"/>
  <c r="DQ31"/>
  <c r="EM30"/>
  <c r="EN30"/>
  <c r="EP29"/>
  <c r="DS31"/>
  <c r="EL31"/>
  <c r="BC35"/>
  <c r="BB34"/>
  <c r="DJ35"/>
  <c r="DM34"/>
  <c r="AW85"/>
  <c r="ER29"/>
  <c r="AK35"/>
  <c r="AJ34"/>
  <c r="DN33"/>
  <c r="EK32"/>
  <c r="EG34"/>
  <c r="BD89"/>
  <c r="AT89"/>
  <c r="AU89"/>
  <c r="EJ33"/>
  <c r="EF34"/>
  <c r="DS32"/>
  <c r="DO32"/>
  <c r="DT32"/>
  <c r="EQ30"/>
  <c r="BG86"/>
  <c r="EM31"/>
  <c r="EN31"/>
  <c r="EP30"/>
  <c r="DT31"/>
  <c r="EQ31"/>
  <c r="BG87"/>
  <c r="AW86"/>
  <c r="ER30"/>
  <c r="BD90"/>
  <c r="AT90"/>
  <c r="AU90"/>
  <c r="EJ34"/>
  <c r="EG35"/>
  <c r="EF35"/>
  <c r="EL32"/>
  <c r="DO33"/>
  <c r="AK36"/>
  <c r="AJ35"/>
  <c r="DN34"/>
  <c r="BB35"/>
  <c r="BC36"/>
  <c r="EK33"/>
  <c r="EM33"/>
  <c r="EN33"/>
  <c r="ES29"/>
  <c r="EU29"/>
  <c r="ET29"/>
  <c r="EV29"/>
  <c r="DM35"/>
  <c r="DJ36"/>
  <c r="EM32"/>
  <c r="EN32"/>
  <c r="DP33"/>
  <c r="DQ33"/>
  <c r="EP31"/>
  <c r="DS33"/>
  <c r="DN35"/>
  <c r="DP35"/>
  <c r="DQ35"/>
  <c r="BB36"/>
  <c r="BC37"/>
  <c r="DO34"/>
  <c r="BD91"/>
  <c r="BE91"/>
  <c r="AT91"/>
  <c r="AU91"/>
  <c r="EJ35"/>
  <c r="EF36"/>
  <c r="EG36"/>
  <c r="ET30"/>
  <c r="EV30"/>
  <c r="ES30"/>
  <c r="EU30"/>
  <c r="AW87"/>
  <c r="ER31"/>
  <c r="DJ37"/>
  <c r="DM36"/>
  <c r="EL33"/>
  <c r="EQ33"/>
  <c r="BG89"/>
  <c r="EP33"/>
  <c r="AJ36"/>
  <c r="AK37"/>
  <c r="EK34"/>
  <c r="EP32"/>
  <c r="DP34"/>
  <c r="DQ34"/>
  <c r="DT33"/>
  <c r="EQ32"/>
  <c r="BG88"/>
  <c r="DT34"/>
  <c r="AW88"/>
  <c r="ER32"/>
  <c r="EL34"/>
  <c r="AK38"/>
  <c r="AJ37"/>
  <c r="AW89"/>
  <c r="ER33"/>
  <c r="DN36"/>
  <c r="ET31"/>
  <c r="EV31"/>
  <c r="ES31"/>
  <c r="EU31"/>
  <c r="BD92"/>
  <c r="AT92"/>
  <c r="AU92"/>
  <c r="EJ36"/>
  <c r="EF37"/>
  <c r="EG37"/>
  <c r="EM35"/>
  <c r="EN35"/>
  <c r="EK35"/>
  <c r="DM37"/>
  <c r="DJ38"/>
  <c r="BC38"/>
  <c r="BB37"/>
  <c r="DO35"/>
  <c r="DT35"/>
  <c r="DS35"/>
  <c r="EM34"/>
  <c r="EN34"/>
  <c r="DS34"/>
  <c r="BC39"/>
  <c r="BB39"/>
  <c r="BB38"/>
  <c r="DN37"/>
  <c r="DP37"/>
  <c r="DQ37"/>
  <c r="EG38"/>
  <c r="BD93"/>
  <c r="AT93"/>
  <c r="AU93"/>
  <c r="EF38"/>
  <c r="EJ37"/>
  <c r="EK36"/>
  <c r="EM36"/>
  <c r="EN36"/>
  <c r="DO36"/>
  <c r="ES32"/>
  <c r="EU32"/>
  <c r="ET32"/>
  <c r="EV32"/>
  <c r="EP34"/>
  <c r="DJ39"/>
  <c r="DM39"/>
  <c r="DM38"/>
  <c r="EP35"/>
  <c r="EL35"/>
  <c r="EQ35"/>
  <c r="BG91"/>
  <c r="ET33"/>
  <c r="EV33"/>
  <c r="ES33"/>
  <c r="EU33"/>
  <c r="AK39"/>
  <c r="AJ39"/>
  <c r="AJ38"/>
  <c r="DP36"/>
  <c r="DQ36"/>
  <c r="EQ34"/>
  <c r="BG90"/>
  <c r="DS36"/>
  <c r="AW91"/>
  <c r="ER35"/>
  <c r="DN39"/>
  <c r="DN38"/>
  <c r="DP38"/>
  <c r="DQ38"/>
  <c r="AW90"/>
  <c r="ER34"/>
  <c r="EL36"/>
  <c r="EQ36"/>
  <c r="BG92"/>
  <c r="EP36"/>
  <c r="EK37"/>
  <c r="EM37"/>
  <c r="EN37"/>
  <c r="BD94"/>
  <c r="AT94"/>
  <c r="AU94"/>
  <c r="EG39"/>
  <c r="EF39"/>
  <c r="EJ38"/>
  <c r="DS37"/>
  <c r="DO37"/>
  <c r="DT37"/>
  <c r="DT36"/>
  <c r="EK38"/>
  <c r="AW92"/>
  <c r="ER36"/>
  <c r="ES34"/>
  <c r="EU34"/>
  <c r="ET34"/>
  <c r="EV34"/>
  <c r="DO39"/>
  <c r="BD95"/>
  <c r="BE95"/>
  <c r="EJ39"/>
  <c r="AT95"/>
  <c r="AU95"/>
  <c r="EL37"/>
  <c r="EQ37"/>
  <c r="BG93"/>
  <c r="EP37"/>
  <c r="DS38"/>
  <c r="DO38"/>
  <c r="DT38"/>
  <c r="ES35"/>
  <c r="EU35"/>
  <c r="ET35"/>
  <c r="EV35"/>
  <c r="DP39"/>
  <c r="DQ39"/>
  <c r="EK39"/>
  <c r="EM39"/>
  <c r="EN39"/>
  <c r="ET36"/>
  <c r="EV36"/>
  <c r="ES36"/>
  <c r="EU36"/>
  <c r="EL38"/>
  <c r="DS39"/>
  <c r="AW93"/>
  <c r="ER37"/>
  <c r="DT39"/>
  <c r="EM38"/>
  <c r="EN38"/>
  <c r="ES37"/>
  <c r="EU37"/>
  <c r="ET37"/>
  <c r="EV37"/>
  <c r="EP39"/>
  <c r="EL39"/>
  <c r="EQ39"/>
  <c r="BG95"/>
  <c r="EQ38"/>
  <c r="BG94"/>
  <c r="EP38"/>
  <c r="AW95"/>
  <c r="ER39"/>
  <c r="AW94"/>
  <c r="ER38"/>
  <c r="ET38"/>
  <c r="EV38"/>
  <c r="ES38"/>
  <c r="EU38"/>
  <c r="ES39"/>
  <c r="EU39"/>
  <c r="ET39"/>
  <c r="EV39"/>
  <c r="ER46"/>
  <c r="BE93"/>
  <c r="BE89"/>
  <c r="BE84"/>
  <c r="BE76"/>
  <c r="BE75"/>
  <c r="BE74"/>
  <c r="AZ62"/>
  <c r="AZ63"/>
  <c r="BE94"/>
  <c r="BE92"/>
  <c r="BE90"/>
  <c r="BE88"/>
  <c r="BE87"/>
  <c r="BE86"/>
  <c r="BE85"/>
  <c r="BE83"/>
  <c r="BE80"/>
  <c r="BE79"/>
  <c r="BE73"/>
  <c r="BE70"/>
  <c r="BE66"/>
  <c r="BE65"/>
  <c r="BE61"/>
  <c r="AG40"/>
  <c r="AZ5"/>
  <c r="AZ6"/>
  <c r="AZ7"/>
  <c r="BE69"/>
  <c r="BE68"/>
  <c r="BE67"/>
  <c r="BE64"/>
  <c r="BE63"/>
  <c r="BE62"/>
  <c r="BE96"/>
  <c r="EF81"/>
  <c r="EE81"/>
  <c r="AY40"/>
  <c r="I4"/>
  <c r="I5"/>
  <c r="AZ66"/>
  <c r="AZ67"/>
  <c r="EG46"/>
  <c r="AH7"/>
  <c r="AH8"/>
  <c r="AG6"/>
  <c r="EE46"/>
  <c r="ES46"/>
  <c r="EU46"/>
  <c r="AY6"/>
  <c r="ER81"/>
  <c r="ET81"/>
  <c r="EV81"/>
  <c r="EG81"/>
  <c r="EF47"/>
  <c r="EE47"/>
  <c r="AG68"/>
  <c r="AG67"/>
  <c r="E25"/>
  <c r="F25"/>
  <c r="BH6"/>
  <c r="AJ53"/>
  <c r="AM5"/>
  <c r="AM68"/>
  <c r="AM67"/>
  <c r="AH54"/>
  <c r="BF6"/>
  <c r="AQ6"/>
  <c r="BI6"/>
  <c r="AN6"/>
  <c r="AG53"/>
  <c r="AM62"/>
  <c r="AP96"/>
  <c r="E26"/>
  <c r="F26"/>
  <c r="BE6"/>
  <c r="AP5"/>
  <c r="AG62"/>
  <c r="AJ96"/>
  <c r="AK54"/>
  <c r="AG7"/>
  <c r="ET46"/>
  <c r="EV46"/>
  <c r="AG8"/>
  <c r="AH9"/>
  <c r="AY7"/>
  <c r="AZ8"/>
  <c r="EG47"/>
  <c r="EJ47"/>
  <c r="EK47"/>
  <c r="EF48"/>
  <c r="EG48"/>
  <c r="EJ48"/>
  <c r="ES81"/>
  <c r="EU81"/>
  <c r="F9"/>
  <c r="F5"/>
  <c r="E9"/>
  <c r="AJ78"/>
  <c r="AJ79"/>
  <c r="AP78"/>
  <c r="AJ62"/>
  <c r="AJ63"/>
  <c r="AP62"/>
  <c r="AP63"/>
  <c r="AP64"/>
  <c r="AZ9"/>
  <c r="AY8"/>
  <c r="AH10"/>
  <c r="AG9"/>
  <c r="DG29"/>
  <c r="DG26"/>
  <c r="DG5"/>
  <c r="DG38"/>
  <c r="DG20"/>
  <c r="DG32"/>
  <c r="DG34"/>
  <c r="DG9"/>
  <c r="DG15"/>
  <c r="DG7"/>
  <c r="DZ11"/>
  <c r="DG40"/>
  <c r="DG36"/>
  <c r="DG28"/>
  <c r="DG31"/>
  <c r="DG10"/>
  <c r="DG14"/>
  <c r="DG33"/>
  <c r="DG27"/>
  <c r="DG13"/>
  <c r="BT40"/>
  <c r="DG17"/>
  <c r="DG39"/>
  <c r="BL63"/>
  <c r="BL64"/>
  <c r="EE48"/>
  <c r="CA6"/>
  <c r="BZ5"/>
  <c r="DB6"/>
  <c r="DG23"/>
  <c r="DG6"/>
  <c r="DG37"/>
  <c r="DG35"/>
  <c r="DG30"/>
  <c r="DG22"/>
  <c r="DG12"/>
  <c r="BU5"/>
  <c r="BU6"/>
  <c r="BU7"/>
  <c r="BU8"/>
  <c r="BU9"/>
  <c r="BU10"/>
  <c r="BU11"/>
  <c r="BU12"/>
  <c r="BU13"/>
  <c r="BU14"/>
  <c r="BU15"/>
  <c r="BU16"/>
  <c r="BU17"/>
  <c r="BU18"/>
  <c r="BU19"/>
  <c r="BU20"/>
  <c r="BU21"/>
  <c r="BU22"/>
  <c r="BU23"/>
  <c r="BU24"/>
  <c r="BU25"/>
  <c r="BU26"/>
  <c r="BU27"/>
  <c r="BU28"/>
  <c r="BU29"/>
  <c r="BU30"/>
  <c r="BU31"/>
  <c r="BU32"/>
  <c r="BU33"/>
  <c r="BU34"/>
  <c r="BU35"/>
  <c r="BU36"/>
  <c r="BU37"/>
  <c r="BU38"/>
  <c r="BU39"/>
  <c r="BT39"/>
  <c r="DG21"/>
  <c r="DG8"/>
  <c r="F4"/>
  <c r="BO6"/>
  <c r="DG18"/>
  <c r="DG19"/>
  <c r="DG25"/>
  <c r="DG24"/>
  <c r="DA5"/>
  <c r="DG16"/>
  <c r="DG11"/>
  <c r="EF49"/>
  <c r="EF50"/>
  <c r="AK78"/>
  <c r="AQ96"/>
  <c r="E4"/>
  <c r="BL6"/>
  <c r="DZ6"/>
  <c r="CY6"/>
  <c r="AQ63"/>
  <c r="AK96"/>
  <c r="BX6"/>
  <c r="ED6"/>
  <c r="AQ61"/>
  <c r="AK61"/>
  <c r="AK77"/>
  <c r="DD40"/>
  <c r="AQ77"/>
  <c r="E5"/>
  <c r="AS6"/>
  <c r="EC5"/>
  <c r="E20"/>
  <c r="BH62"/>
  <c r="BW5"/>
  <c r="AK62"/>
  <c r="BQ40"/>
  <c r="DY11"/>
  <c r="DE5"/>
  <c r="DE6"/>
  <c r="DE7"/>
  <c r="DE8"/>
  <c r="DE9"/>
  <c r="DE10"/>
  <c r="DE11"/>
  <c r="DE12"/>
  <c r="DE13"/>
  <c r="DE14"/>
  <c r="DE15"/>
  <c r="DE16"/>
  <c r="DE17"/>
  <c r="DE18"/>
  <c r="DE19"/>
  <c r="DE20"/>
  <c r="DE21"/>
  <c r="DE22"/>
  <c r="DE23"/>
  <c r="DE24"/>
  <c r="DE25"/>
  <c r="DE26"/>
  <c r="DE27"/>
  <c r="DE28"/>
  <c r="DE29"/>
  <c r="DE30"/>
  <c r="DE31"/>
  <c r="DE32"/>
  <c r="DE33"/>
  <c r="DE34"/>
  <c r="DE35"/>
  <c r="DE36"/>
  <c r="DE37"/>
  <c r="DE38"/>
  <c r="DE39"/>
  <c r="DD39"/>
  <c r="DY5"/>
  <c r="BR5"/>
  <c r="BR6"/>
  <c r="BR7"/>
  <c r="BA63"/>
  <c r="BA64"/>
  <c r="CX5"/>
  <c r="AQ62"/>
  <c r="AP79"/>
  <c r="AQ78"/>
  <c r="AG10"/>
  <c r="AH11"/>
  <c r="AY9"/>
  <c r="AZ10"/>
  <c r="EK48"/>
  <c r="EL47"/>
  <c r="BN5"/>
  <c r="CF6"/>
  <c r="AV6"/>
  <c r="CU6"/>
  <c r="EM47"/>
  <c r="EN47"/>
  <c r="BT34"/>
  <c r="BT16"/>
  <c r="AX64"/>
  <c r="BH95"/>
  <c r="AX78"/>
  <c r="AX80"/>
  <c r="AX96"/>
  <c r="AX89"/>
  <c r="AX87"/>
  <c r="BH72"/>
  <c r="BH70"/>
  <c r="AX65"/>
  <c r="CS6"/>
  <c r="CG6"/>
  <c r="BH93"/>
  <c r="AX85"/>
  <c r="AX91"/>
  <c r="AX83"/>
  <c r="AX76"/>
  <c r="AX68"/>
  <c r="BH74"/>
  <c r="AX67"/>
  <c r="DW40"/>
  <c r="EA5"/>
  <c r="BK5"/>
  <c r="BT18"/>
  <c r="BT9"/>
  <c r="BT33"/>
  <c r="BH91"/>
  <c r="BH87"/>
  <c r="BH83"/>
  <c r="AX93"/>
  <c r="BH89"/>
  <c r="BH85"/>
  <c r="BH82"/>
  <c r="BH78"/>
  <c r="AX74"/>
  <c r="AX70"/>
  <c r="BH80"/>
  <c r="BH76"/>
  <c r="AX72"/>
  <c r="BH68"/>
  <c r="BH65"/>
  <c r="AX62"/>
  <c r="BH64"/>
  <c r="AX63"/>
  <c r="BH63"/>
  <c r="CC6"/>
  <c r="CD6"/>
  <c r="EG49"/>
  <c r="EJ49"/>
  <c r="CV6"/>
  <c r="BT37"/>
  <c r="BT36"/>
  <c r="BT20"/>
  <c r="BT35"/>
  <c r="BT24"/>
  <c r="BT15"/>
  <c r="BT14"/>
  <c r="DD11"/>
  <c r="BT23"/>
  <c r="BT7"/>
  <c r="BT38"/>
  <c r="BT26"/>
  <c r="BT11"/>
  <c r="BT19"/>
  <c r="BT8"/>
  <c r="BT28"/>
  <c r="BT30"/>
  <c r="BT25"/>
  <c r="BT6"/>
  <c r="BT13"/>
  <c r="DD28"/>
  <c r="DD24"/>
  <c r="BT29"/>
  <c r="BT31"/>
  <c r="BT21"/>
  <c r="BT17"/>
  <c r="BT27"/>
  <c r="BT12"/>
  <c r="BT22"/>
  <c r="DD31"/>
  <c r="AX94"/>
  <c r="BH92"/>
  <c r="AX90"/>
  <c r="AX88"/>
  <c r="BH86"/>
  <c r="BH84"/>
  <c r="AX95"/>
  <c r="BH94"/>
  <c r="AX92"/>
  <c r="BH90"/>
  <c r="BH88"/>
  <c r="AX86"/>
  <c r="AX84"/>
  <c r="AX82"/>
  <c r="BH81"/>
  <c r="BH79"/>
  <c r="AX77"/>
  <c r="BH75"/>
  <c r="AX73"/>
  <c r="BH71"/>
  <c r="BH69"/>
  <c r="AX81"/>
  <c r="AX79"/>
  <c r="BH77"/>
  <c r="AX75"/>
  <c r="BH73"/>
  <c r="AX71"/>
  <c r="AX69"/>
  <c r="BH67"/>
  <c r="BH66"/>
  <c r="F12"/>
  <c r="EB11"/>
  <c r="DV5"/>
  <c r="AX61"/>
  <c r="E12"/>
  <c r="BA67"/>
  <c r="BA68"/>
  <c r="AX66"/>
  <c r="BH96"/>
  <c r="EB6"/>
  <c r="BH61"/>
  <c r="CR6"/>
  <c r="AT6"/>
  <c r="EE49"/>
  <c r="AW6"/>
  <c r="BT10"/>
  <c r="BT32"/>
  <c r="DD18"/>
  <c r="DD13"/>
  <c r="DD23"/>
  <c r="DD6"/>
  <c r="DD34"/>
  <c r="DD32"/>
  <c r="DD38"/>
  <c r="DD12"/>
  <c r="DD29"/>
  <c r="DD19"/>
  <c r="DD36"/>
  <c r="DD25"/>
  <c r="DD20"/>
  <c r="DD35"/>
  <c r="DD37"/>
  <c r="DD21"/>
  <c r="DD22"/>
  <c r="DD8"/>
  <c r="DD14"/>
  <c r="DD7"/>
  <c r="DD27"/>
  <c r="DD9"/>
  <c r="DD26"/>
  <c r="DD30"/>
  <c r="BQ6"/>
  <c r="DD15"/>
  <c r="DD16"/>
  <c r="DD17"/>
  <c r="DD33"/>
  <c r="DD10"/>
  <c r="BR8"/>
  <c r="BQ7"/>
  <c r="AP80"/>
  <c r="AQ79"/>
  <c r="EL48"/>
  <c r="EK49"/>
  <c r="EM49"/>
  <c r="EN49"/>
  <c r="EE50"/>
  <c r="EG50"/>
  <c r="EJ50"/>
  <c r="EF51"/>
  <c r="EQ47"/>
  <c r="BL67"/>
  <c r="BL68"/>
  <c r="AZ11"/>
  <c r="AY10"/>
  <c r="AH12"/>
  <c r="AG11"/>
  <c r="EP47"/>
  <c r="EM48"/>
  <c r="EN48"/>
  <c r="F15"/>
  <c r="EX47"/>
  <c r="E22"/>
  <c r="DV40"/>
  <c r="EA11"/>
  <c r="E15"/>
  <c r="EW47"/>
  <c r="BR9"/>
  <c r="BQ8"/>
  <c r="AQ80"/>
  <c r="AP81"/>
  <c r="EQ48"/>
  <c r="EZ47"/>
  <c r="ER47"/>
  <c r="AH13"/>
  <c r="AG12"/>
  <c r="AZ12"/>
  <c r="AY11"/>
  <c r="EF52"/>
  <c r="EE51"/>
  <c r="EG51"/>
  <c r="EJ51"/>
  <c r="EX6"/>
  <c r="EK50"/>
  <c r="EM50"/>
  <c r="EN50"/>
  <c r="EL49"/>
  <c r="EQ49"/>
  <c r="EP49"/>
  <c r="EP48"/>
  <c r="EW6"/>
  <c r="DW5"/>
  <c r="DW6"/>
  <c r="DW7"/>
  <c r="DW8"/>
  <c r="DW9"/>
  <c r="DW10"/>
  <c r="DW11"/>
  <c r="DW12"/>
  <c r="DW13"/>
  <c r="DW14"/>
  <c r="DW15"/>
  <c r="DW16"/>
  <c r="DW17"/>
  <c r="DW18"/>
  <c r="DW19"/>
  <c r="DW20"/>
  <c r="DW21"/>
  <c r="DW22"/>
  <c r="DW23"/>
  <c r="DW24"/>
  <c r="DW25"/>
  <c r="DW26"/>
  <c r="DW27"/>
  <c r="DW28"/>
  <c r="DW29"/>
  <c r="DW30"/>
  <c r="DW31"/>
  <c r="DW32"/>
  <c r="DW33"/>
  <c r="DW34"/>
  <c r="DW35"/>
  <c r="DW36"/>
  <c r="DW37"/>
  <c r="DW38"/>
  <c r="DW39"/>
  <c r="DV39"/>
  <c r="BR10"/>
  <c r="BQ9"/>
  <c r="AP82"/>
  <c r="AQ81"/>
  <c r="EZ48"/>
  <c r="ER48"/>
  <c r="EZ49"/>
  <c r="ER49"/>
  <c r="EP50"/>
  <c r="EL50"/>
  <c r="EQ50"/>
  <c r="ES47"/>
  <c r="ET47"/>
  <c r="EV47"/>
  <c r="EK51"/>
  <c r="EM51"/>
  <c r="EN51"/>
  <c r="EF53"/>
  <c r="EE52"/>
  <c r="EG52"/>
  <c r="EJ52"/>
  <c r="AY12"/>
  <c r="AZ13"/>
  <c r="AH14"/>
  <c r="AG13"/>
  <c r="DV9"/>
  <c r="DV6"/>
  <c r="DV8"/>
  <c r="DV7"/>
  <c r="DV11"/>
  <c r="DV29"/>
  <c r="DV27"/>
  <c r="DV33"/>
  <c r="DV19"/>
  <c r="DV32"/>
  <c r="DV35"/>
  <c r="DV17"/>
  <c r="DV16"/>
  <c r="DV15"/>
  <c r="DV23"/>
  <c r="DV28"/>
  <c r="DV34"/>
  <c r="DV31"/>
  <c r="DV18"/>
  <c r="DV24"/>
  <c r="DV12"/>
  <c r="DV13"/>
  <c r="DV38"/>
  <c r="DV20"/>
  <c r="DV30"/>
  <c r="DV37"/>
  <c r="DV22"/>
  <c r="DV26"/>
  <c r="DV25"/>
  <c r="DV21"/>
  <c r="DV10"/>
  <c r="DV36"/>
  <c r="DV14"/>
  <c r="BR11"/>
  <c r="BQ10"/>
  <c r="AP83"/>
  <c r="AQ82"/>
  <c r="AY13"/>
  <c r="AZ14"/>
  <c r="AH15"/>
  <c r="AG14"/>
  <c r="EF54"/>
  <c r="EG53"/>
  <c r="EJ53"/>
  <c r="EE53"/>
  <c r="EL51"/>
  <c r="EQ51"/>
  <c r="EP51"/>
  <c r="FA47"/>
  <c r="EU47"/>
  <c r="EZ50"/>
  <c r="ER50"/>
  <c r="ET48"/>
  <c r="EV48"/>
  <c r="ES48"/>
  <c r="EK52"/>
  <c r="EM52"/>
  <c r="EN52"/>
  <c r="ES49"/>
  <c r="ET49"/>
  <c r="EV49"/>
  <c r="BR12"/>
  <c r="BQ11"/>
  <c r="AQ83"/>
  <c r="AP84"/>
  <c r="EL52"/>
  <c r="EQ52"/>
  <c r="EP52"/>
  <c r="FA48"/>
  <c r="EU48"/>
  <c r="ET50"/>
  <c r="EV50"/>
  <c r="ES50"/>
  <c r="EK53"/>
  <c r="EM53"/>
  <c r="EN53"/>
  <c r="EG54"/>
  <c r="EJ54"/>
  <c r="EE54"/>
  <c r="EF55"/>
  <c r="AH16"/>
  <c r="AG15"/>
  <c r="FA49"/>
  <c r="EU49"/>
  <c r="EZ51"/>
  <c r="ER51"/>
  <c r="AZ15"/>
  <c r="AY14"/>
  <c r="BR13"/>
  <c r="BQ12"/>
  <c r="AP85"/>
  <c r="AQ84"/>
  <c r="AZ16"/>
  <c r="AY15"/>
  <c r="ET51"/>
  <c r="EV51"/>
  <c r="ES51"/>
  <c r="AG16"/>
  <c r="AH17"/>
  <c r="EK54"/>
  <c r="EM54"/>
  <c r="EN54"/>
  <c r="EL53"/>
  <c r="EQ53"/>
  <c r="EP53"/>
  <c r="EF56"/>
  <c r="EG55"/>
  <c r="EJ55"/>
  <c r="EE55"/>
  <c r="FA50"/>
  <c r="EU50"/>
  <c r="EZ52"/>
  <c r="ER52"/>
  <c r="BR14"/>
  <c r="BQ13"/>
  <c r="AQ85"/>
  <c r="AP86"/>
  <c r="ES52"/>
  <c r="ET52"/>
  <c r="EV52"/>
  <c r="EE56"/>
  <c r="EF57"/>
  <c r="EG56"/>
  <c r="EJ56"/>
  <c r="EP54"/>
  <c r="EL54"/>
  <c r="EQ54"/>
  <c r="AZ17"/>
  <c r="AY16"/>
  <c r="EK55"/>
  <c r="EM55"/>
  <c r="EN55"/>
  <c r="EZ53"/>
  <c r="ER53"/>
  <c r="AH18"/>
  <c r="AG17"/>
  <c r="FA51"/>
  <c r="EU51"/>
  <c r="BR15"/>
  <c r="BQ14"/>
  <c r="AQ86"/>
  <c r="AP87"/>
  <c r="AP88"/>
  <c r="AH19"/>
  <c r="AG18"/>
  <c r="ET53"/>
  <c r="EV53"/>
  <c r="ES53"/>
  <c r="EL55"/>
  <c r="EQ55"/>
  <c r="EP55"/>
  <c r="AY17"/>
  <c r="AZ18"/>
  <c r="EZ54"/>
  <c r="ER54"/>
  <c r="EE57"/>
  <c r="EG57"/>
  <c r="EJ57"/>
  <c r="EF58"/>
  <c r="FA52"/>
  <c r="EU52"/>
  <c r="EK56"/>
  <c r="BR16"/>
  <c r="BQ15"/>
  <c r="AQ87"/>
  <c r="EK57"/>
  <c r="EM57"/>
  <c r="EN57"/>
  <c r="ES54"/>
  <c r="ET54"/>
  <c r="EV54"/>
  <c r="AH20"/>
  <c r="AG19"/>
  <c r="EL56"/>
  <c r="EG58"/>
  <c r="EJ58"/>
  <c r="EE58"/>
  <c r="EF59"/>
  <c r="AY18"/>
  <c r="AZ19"/>
  <c r="EZ55"/>
  <c r="ER55"/>
  <c r="FA53"/>
  <c r="EU53"/>
  <c r="EM56"/>
  <c r="EN56"/>
  <c r="BR17"/>
  <c r="BQ16"/>
  <c r="ET55"/>
  <c r="EV55"/>
  <c r="ES55"/>
  <c r="EK58"/>
  <c r="EM58"/>
  <c r="EN58"/>
  <c r="AG20"/>
  <c r="AH21"/>
  <c r="FA54"/>
  <c r="EU54"/>
  <c r="EL57"/>
  <c r="EQ57"/>
  <c r="EP57"/>
  <c r="EQ56"/>
  <c r="AZ20"/>
  <c r="AY19"/>
  <c r="EG59"/>
  <c r="EJ59"/>
  <c r="EE59"/>
  <c r="EF60"/>
  <c r="EP56"/>
  <c r="BR18"/>
  <c r="BQ17"/>
  <c r="EK59"/>
  <c r="EM59"/>
  <c r="EN59"/>
  <c r="AZ21"/>
  <c r="AY20"/>
  <c r="EL58"/>
  <c r="EQ58"/>
  <c r="EP58"/>
  <c r="EZ56"/>
  <c r="ER56"/>
  <c r="EG60"/>
  <c r="EJ60"/>
  <c r="EF61"/>
  <c r="EE60"/>
  <c r="EZ57"/>
  <c r="ER57"/>
  <c r="AG21"/>
  <c r="AH22"/>
  <c r="FA55"/>
  <c r="EU55"/>
  <c r="BR19"/>
  <c r="BQ18"/>
  <c r="EK60"/>
  <c r="EM60"/>
  <c r="EN60"/>
  <c r="EZ58"/>
  <c r="ER58"/>
  <c r="EE61"/>
  <c r="EF62"/>
  <c r="EG61"/>
  <c r="EJ61"/>
  <c r="ET56"/>
  <c r="EV56"/>
  <c r="ES56"/>
  <c r="AZ22"/>
  <c r="AY21"/>
  <c r="EP59"/>
  <c r="EL59"/>
  <c r="EQ59"/>
  <c r="AH23"/>
  <c r="AG22"/>
  <c r="ET57"/>
  <c r="EV57"/>
  <c r="ES57"/>
  <c r="BR20"/>
  <c r="BQ19"/>
  <c r="AH24"/>
  <c r="AG23"/>
  <c r="FA57"/>
  <c r="EU57"/>
  <c r="FA56"/>
  <c r="EU56"/>
  <c r="EF63"/>
  <c r="EG62"/>
  <c r="EJ62"/>
  <c r="EE62"/>
  <c r="ET58"/>
  <c r="EV58"/>
  <c r="ES58"/>
  <c r="EP60"/>
  <c r="EL60"/>
  <c r="EQ60"/>
  <c r="EZ59"/>
  <c r="ER59"/>
  <c r="AY22"/>
  <c r="AZ23"/>
  <c r="EK61"/>
  <c r="BR21"/>
  <c r="BQ20"/>
  <c r="EL61"/>
  <c r="FA58"/>
  <c r="EU58"/>
  <c r="AZ24"/>
  <c r="AY23"/>
  <c r="ET59"/>
  <c r="EV59"/>
  <c r="ES59"/>
  <c r="EZ60"/>
  <c r="ER60"/>
  <c r="EK62"/>
  <c r="EM62"/>
  <c r="EN62"/>
  <c r="EG63"/>
  <c r="EJ63"/>
  <c r="EF64"/>
  <c r="EE63"/>
  <c r="AH25"/>
  <c r="AG24"/>
  <c r="EM61"/>
  <c r="EN61"/>
  <c r="BR22"/>
  <c r="BQ21"/>
  <c r="EK63"/>
  <c r="EM63"/>
  <c r="EN63"/>
  <c r="EE64"/>
  <c r="EG64"/>
  <c r="EJ64"/>
  <c r="EF65"/>
  <c r="EL62"/>
  <c r="EQ62"/>
  <c r="EP62"/>
  <c r="ES60"/>
  <c r="ET60"/>
  <c r="EV60"/>
  <c r="AY24"/>
  <c r="AZ25"/>
  <c r="EQ61"/>
  <c r="AH26"/>
  <c r="AG25"/>
  <c r="FA59"/>
  <c r="EU59"/>
  <c r="EP61"/>
  <c r="BR23"/>
  <c r="BQ22"/>
  <c r="AH27"/>
  <c r="AG26"/>
  <c r="AZ26"/>
  <c r="AY25"/>
  <c r="EZ62"/>
  <c r="ER62"/>
  <c r="FA60"/>
  <c r="EU60"/>
  <c r="EG65"/>
  <c r="EJ65"/>
  <c r="EF66"/>
  <c r="EE65"/>
  <c r="EL63"/>
  <c r="EQ63"/>
  <c r="EP63"/>
  <c r="EZ61"/>
  <c r="ER61"/>
  <c r="EK64"/>
  <c r="EM64"/>
  <c r="EN64"/>
  <c r="BR24"/>
  <c r="BQ23"/>
  <c r="ES61"/>
  <c r="ET61"/>
  <c r="EV61"/>
  <c r="EK65"/>
  <c r="EM65"/>
  <c r="EN65"/>
  <c r="EL64"/>
  <c r="EQ64"/>
  <c r="EP64"/>
  <c r="EZ63"/>
  <c r="ER63"/>
  <c r="EE66"/>
  <c r="EG66"/>
  <c r="EJ66"/>
  <c r="EF67"/>
  <c r="ET62"/>
  <c r="EV62"/>
  <c r="ES62"/>
  <c r="AY26"/>
  <c r="AZ27"/>
  <c r="AG27"/>
  <c r="AH28"/>
  <c r="BR25"/>
  <c r="BQ24"/>
  <c r="EF68"/>
  <c r="EG67"/>
  <c r="EJ67"/>
  <c r="EE67"/>
  <c r="EZ64"/>
  <c r="ER64"/>
  <c r="AG28"/>
  <c r="AH29"/>
  <c r="AY27"/>
  <c r="AZ28"/>
  <c r="FA62"/>
  <c r="EU62"/>
  <c r="EK66"/>
  <c r="EM66"/>
  <c r="EN66"/>
  <c r="ET63"/>
  <c r="EV63"/>
  <c r="ES63"/>
  <c r="EP65"/>
  <c r="EL65"/>
  <c r="EQ65"/>
  <c r="FA61"/>
  <c r="EU61"/>
  <c r="BR26"/>
  <c r="BQ25"/>
  <c r="FA63"/>
  <c r="EU63"/>
  <c r="AY28"/>
  <c r="AZ29"/>
  <c r="AG29"/>
  <c r="AH30"/>
  <c r="ES64"/>
  <c r="ET64"/>
  <c r="EV64"/>
  <c r="EF69"/>
  <c r="EG68"/>
  <c r="EJ68"/>
  <c r="EE68"/>
  <c r="EZ65"/>
  <c r="ER65"/>
  <c r="EL66"/>
  <c r="EQ66"/>
  <c r="EP66"/>
  <c r="EK67"/>
  <c r="BR27"/>
  <c r="BQ26"/>
  <c r="EL67"/>
  <c r="EK68"/>
  <c r="EM68"/>
  <c r="EN68"/>
  <c r="EZ66"/>
  <c r="ER66"/>
  <c r="ES65"/>
  <c r="ET65"/>
  <c r="EV65"/>
  <c r="EG69"/>
  <c r="EJ69"/>
  <c r="EF70"/>
  <c r="EE69"/>
  <c r="FA64"/>
  <c r="EU64"/>
  <c r="EM67"/>
  <c r="EN67"/>
  <c r="AH31"/>
  <c r="AG30"/>
  <c r="AY29"/>
  <c r="AZ30"/>
  <c r="BR28"/>
  <c r="BQ27"/>
  <c r="FA65"/>
  <c r="EU65"/>
  <c r="AG31"/>
  <c r="AH32"/>
  <c r="EE70"/>
  <c r="EF71"/>
  <c r="EG70"/>
  <c r="EJ70"/>
  <c r="ET66"/>
  <c r="EV66"/>
  <c r="ES66"/>
  <c r="EQ67"/>
  <c r="AZ31"/>
  <c r="AY30"/>
  <c r="EK69"/>
  <c r="EM69"/>
  <c r="EN69"/>
  <c r="EL68"/>
  <c r="EQ68"/>
  <c r="EP68"/>
  <c r="EP67"/>
  <c r="BR29"/>
  <c r="BQ28"/>
  <c r="EZ68"/>
  <c r="ER68"/>
  <c r="EK70"/>
  <c r="EM70"/>
  <c r="EN70"/>
  <c r="EZ67"/>
  <c r="ER67"/>
  <c r="EL69"/>
  <c r="EQ69"/>
  <c r="EP69"/>
  <c r="AY31"/>
  <c r="AZ32"/>
  <c r="FA66"/>
  <c r="EU66"/>
  <c r="EG71"/>
  <c r="EJ71"/>
  <c r="EF72"/>
  <c r="EE71"/>
  <c r="AG32"/>
  <c r="AH33"/>
  <c r="BR30"/>
  <c r="BQ29"/>
  <c r="EK71"/>
  <c r="EM71"/>
  <c r="EN71"/>
  <c r="EL70"/>
  <c r="EQ70"/>
  <c r="EP70"/>
  <c r="ET68"/>
  <c r="EV68"/>
  <c r="ES68"/>
  <c r="AH34"/>
  <c r="AG33"/>
  <c r="EE72"/>
  <c r="EF73"/>
  <c r="EG72"/>
  <c r="EJ72"/>
  <c r="AY32"/>
  <c r="AZ33"/>
  <c r="EZ69"/>
  <c r="ER69"/>
  <c r="ET67"/>
  <c r="EV67"/>
  <c r="ES67"/>
  <c r="BR31"/>
  <c r="BQ30"/>
  <c r="EE73"/>
  <c r="EG73"/>
  <c r="EJ73"/>
  <c r="EF74"/>
  <c r="FA67"/>
  <c r="EU67"/>
  <c r="ET69"/>
  <c r="EV69"/>
  <c r="ES69"/>
  <c r="EK72"/>
  <c r="EM72"/>
  <c r="EN72"/>
  <c r="AH35"/>
  <c r="AG34"/>
  <c r="EL71"/>
  <c r="EQ71"/>
  <c r="EP71"/>
  <c r="AY33"/>
  <c r="AZ34"/>
  <c r="FA68"/>
  <c r="EU68"/>
  <c r="EZ70"/>
  <c r="ER70"/>
  <c r="BR32"/>
  <c r="BQ31"/>
  <c r="AY34"/>
  <c r="AZ35"/>
  <c r="FA69"/>
  <c r="EU69"/>
  <c r="ET70"/>
  <c r="EV70"/>
  <c r="ES70"/>
  <c r="AG35"/>
  <c r="AH36"/>
  <c r="EP72"/>
  <c r="EL72"/>
  <c r="EQ72"/>
  <c r="EE74"/>
  <c r="EG74"/>
  <c r="EJ74"/>
  <c r="EF75"/>
  <c r="EZ71"/>
  <c r="ER71"/>
  <c r="EK73"/>
  <c r="EM73"/>
  <c r="EN73"/>
  <c r="BR33"/>
  <c r="BQ32"/>
  <c r="EK74"/>
  <c r="EM74"/>
  <c r="EN74"/>
  <c r="EL73"/>
  <c r="EQ73"/>
  <c r="EP73"/>
  <c r="ET71"/>
  <c r="EV71"/>
  <c r="ES71"/>
  <c r="EF76"/>
  <c r="EE75"/>
  <c r="EG75"/>
  <c r="EJ75"/>
  <c r="EZ72"/>
  <c r="ER72"/>
  <c r="AG36"/>
  <c r="AH37"/>
  <c r="FA70"/>
  <c r="EU70"/>
  <c r="AY35"/>
  <c r="AZ36"/>
  <c r="BR34"/>
  <c r="BQ33"/>
  <c r="EK75"/>
  <c r="EM75"/>
  <c r="EN75"/>
  <c r="FA71"/>
  <c r="EU71"/>
  <c r="EZ73"/>
  <c r="ER73"/>
  <c r="AZ37"/>
  <c r="AY36"/>
  <c r="AH38"/>
  <c r="AG37"/>
  <c r="ET72"/>
  <c r="EV72"/>
  <c r="ES72"/>
  <c r="EG76"/>
  <c r="EJ76"/>
  <c r="EE76"/>
  <c r="EF77"/>
  <c r="EL74"/>
  <c r="EQ74"/>
  <c r="EP74"/>
  <c r="BR35"/>
  <c r="BQ34"/>
  <c r="EK76"/>
  <c r="EM76"/>
  <c r="EN76"/>
  <c r="EZ74"/>
  <c r="ER74"/>
  <c r="FA72"/>
  <c r="EU72"/>
  <c r="ET73"/>
  <c r="EV73"/>
  <c r="ES73"/>
  <c r="EL75"/>
  <c r="EQ75"/>
  <c r="EP75"/>
  <c r="EF78"/>
  <c r="EG77"/>
  <c r="EJ77"/>
  <c r="EE77"/>
  <c r="AH39"/>
  <c r="AG39"/>
  <c r="AG38"/>
  <c r="AZ38"/>
  <c r="AY37"/>
  <c r="BR36"/>
  <c r="BQ35"/>
  <c r="AZ39"/>
  <c r="AY39"/>
  <c r="AY38"/>
  <c r="EK77"/>
  <c r="EE78"/>
  <c r="EG78"/>
  <c r="EJ78"/>
  <c r="EF79"/>
  <c r="EZ75"/>
  <c r="ER75"/>
  <c r="FA73"/>
  <c r="EU73"/>
  <c r="ES74"/>
  <c r="ET74"/>
  <c r="EV74"/>
  <c r="EL76"/>
  <c r="EQ76"/>
  <c r="EP76"/>
  <c r="BR37"/>
  <c r="BQ36"/>
  <c r="EK78"/>
  <c r="EM78"/>
  <c r="EN78"/>
  <c r="EL77"/>
  <c r="EZ76"/>
  <c r="ER76"/>
  <c r="ET75"/>
  <c r="EV75"/>
  <c r="ES75"/>
  <c r="EM77"/>
  <c r="EN77"/>
  <c r="FA74"/>
  <c r="EU74"/>
  <c r="EF80"/>
  <c r="EG79"/>
  <c r="EJ79"/>
  <c r="EE79"/>
  <c r="BR38"/>
  <c r="BQ37"/>
  <c r="EK79"/>
  <c r="EM79"/>
  <c r="EN79"/>
  <c r="EE80"/>
  <c r="EG80"/>
  <c r="EJ80"/>
  <c r="FA75"/>
  <c r="EU75"/>
  <c r="ET76"/>
  <c r="EV76"/>
  <c r="ES76"/>
  <c r="EL78"/>
  <c r="EQ78"/>
  <c r="EP78"/>
  <c r="EP77"/>
  <c r="EQ77"/>
  <c r="BR39"/>
  <c r="BQ39"/>
  <c r="BQ38"/>
  <c r="EZ77"/>
  <c r="ER77"/>
  <c r="EZ78"/>
  <c r="ER78"/>
  <c r="FA76"/>
  <c r="EU76"/>
  <c r="EP79"/>
  <c r="EL79"/>
  <c r="EQ79"/>
  <c r="EK80"/>
  <c r="EM80"/>
  <c r="EN80"/>
  <c r="ET78"/>
  <c r="EV78"/>
  <c r="ES78"/>
  <c r="EZ79"/>
  <c r="ER79"/>
  <c r="ES77"/>
  <c r="ET77"/>
  <c r="EV77"/>
  <c r="EP80"/>
  <c r="EL80"/>
  <c r="EQ80"/>
  <c r="FA77"/>
  <c r="EU77"/>
  <c r="FA78"/>
  <c r="EU78"/>
  <c r="ET79"/>
  <c r="EV79"/>
  <c r="ES79"/>
  <c r="EZ80"/>
  <c r="ER80"/>
  <c r="FA79"/>
  <c r="EU79"/>
  <c r="ET80"/>
  <c r="EV80"/>
  <c r="ES80"/>
  <c r="FA80"/>
  <c r="EU80"/>
  <c r="AP89"/>
  <c r="AQ88"/>
  <c r="AQ64"/>
  <c r="AP65"/>
  <c r="AJ64"/>
  <c r="AK63"/>
  <c r="AK79"/>
  <c r="AJ80"/>
  <c r="AK80"/>
  <c r="AJ81"/>
  <c r="AP66"/>
  <c r="AQ65"/>
  <c r="AJ65"/>
  <c r="AK64"/>
  <c r="AP90"/>
  <c r="AQ89"/>
  <c r="AJ82"/>
  <c r="AK81"/>
  <c r="AQ90"/>
  <c r="AP91"/>
  <c r="AJ66"/>
  <c r="AK65"/>
  <c r="AQ66"/>
  <c r="AP67"/>
  <c r="AQ67"/>
  <c r="AP68"/>
  <c r="AP92"/>
  <c r="AQ91"/>
  <c r="AK66"/>
  <c r="AJ67"/>
  <c r="AJ83"/>
  <c r="AK82"/>
  <c r="AJ84"/>
  <c r="AK83"/>
  <c r="AQ92"/>
  <c r="AP93"/>
  <c r="AK67"/>
  <c r="AJ68"/>
  <c r="AQ68"/>
  <c r="AP69"/>
  <c r="AQ69"/>
  <c r="AP70"/>
  <c r="AJ69"/>
  <c r="AK68"/>
  <c r="AP94"/>
  <c r="AQ93"/>
  <c r="AJ85"/>
  <c r="AK84"/>
  <c r="AP71"/>
  <c r="AQ70"/>
  <c r="AK85"/>
  <c r="AJ86"/>
  <c r="AP95"/>
  <c r="AQ95"/>
  <c r="AQ94"/>
  <c r="AK69"/>
  <c r="AJ70"/>
  <c r="AK86"/>
  <c r="AJ87"/>
  <c r="AQ71"/>
  <c r="AP72"/>
  <c r="AJ71"/>
  <c r="AK70"/>
  <c r="AP73"/>
  <c r="AQ72"/>
  <c r="AK87"/>
  <c r="AJ88"/>
  <c r="AK71"/>
  <c r="AJ72"/>
  <c r="AQ73"/>
  <c r="AP74"/>
  <c r="AK72"/>
  <c r="AJ73"/>
  <c r="AJ89"/>
  <c r="AK88"/>
  <c r="AJ74"/>
  <c r="AK73"/>
  <c r="AP75"/>
  <c r="AQ74"/>
  <c r="AK89"/>
  <c r="AJ90"/>
  <c r="AK90"/>
  <c r="AJ91"/>
  <c r="AP76"/>
  <c r="AQ76"/>
  <c r="AQ75"/>
  <c r="AK74"/>
  <c r="AJ75"/>
  <c r="AK75"/>
  <c r="AJ76"/>
  <c r="AK76"/>
  <c r="AK91"/>
  <c r="AJ92"/>
  <c r="AK92"/>
  <c r="AJ93"/>
  <c r="AJ94"/>
  <c r="AK93"/>
  <c r="AK94"/>
  <c r="AJ95"/>
  <c r="AK95"/>
</calcChain>
</file>

<file path=xl/sharedStrings.xml><?xml version="1.0" encoding="utf-8"?>
<sst xmlns="http://schemas.openxmlformats.org/spreadsheetml/2006/main" count="286" uniqueCount="131">
  <si>
    <t>Capital</t>
  </si>
  <si>
    <t>Labor</t>
  </si>
  <si>
    <t>Output</t>
  </si>
  <si>
    <t>X</t>
  </si>
  <si>
    <t>Y</t>
  </si>
  <si>
    <t>Inputs</t>
  </si>
  <si>
    <t>Consumption</t>
  </si>
  <si>
    <t>Trade</t>
  </si>
  <si>
    <t>Income</t>
  </si>
  <si>
    <t>Factor Prices</t>
  </si>
  <si>
    <t>Cost Shares</t>
  </si>
  <si>
    <t>Welfare Index</t>
  </si>
  <si>
    <t>Unit Value Isoquant (Lerner-Pearce) Diagram Data</t>
  </si>
  <si>
    <t>Endowment Ray</t>
  </si>
  <si>
    <t>Y Isocost</t>
  </si>
  <si>
    <t>X Isocost</t>
  </si>
  <si>
    <t>X Factor Intensity</t>
  </si>
  <si>
    <t>Y Factor Intensity</t>
  </si>
  <si>
    <t>Y Isoquant</t>
  </si>
  <si>
    <t>X Isoquant</t>
  </si>
  <si>
    <t>X Unit Value Isoquant</t>
  </si>
  <si>
    <t>Y Unit Value Isoquant</t>
  </si>
  <si>
    <t>Output Isoquant Diagram Data</t>
  </si>
  <si>
    <t>Production Possibilities Diagram Data</t>
  </si>
  <si>
    <t>Indifference Curve</t>
  </si>
  <si>
    <t>Isoprice Diagram</t>
  </si>
  <si>
    <t>Wage</t>
  </si>
  <si>
    <t>Rent</t>
  </si>
  <si>
    <t>Y Isoprice</t>
  </si>
  <si>
    <t>X Isoprice</t>
  </si>
  <si>
    <t>PX/PY</t>
  </si>
  <si>
    <t>w/r</t>
  </si>
  <si>
    <t>Box Horizontal</t>
  </si>
  <si>
    <t>Box Vertical</t>
  </si>
  <si>
    <t xml:space="preserve">Labor </t>
  </si>
  <si>
    <t>Lx</t>
  </si>
  <si>
    <t>Ly</t>
  </si>
  <si>
    <t>Kx</t>
  </si>
  <si>
    <t>Ky</t>
  </si>
  <si>
    <t>Transformation Locus</t>
  </si>
  <si>
    <t>X Coefficient</t>
  </si>
  <si>
    <t>YCoefficient</t>
  </si>
  <si>
    <t>Isoprice (Mussa) Diagram Data</t>
  </si>
  <si>
    <t>Production Box Diagram Data</t>
  </si>
  <si>
    <t>Consumption Shares</t>
  </si>
  <si>
    <t>Net Trade</t>
  </si>
  <si>
    <t>Price Line</t>
  </si>
  <si>
    <t>Unit Value Isoquant Diagram</t>
  </si>
  <si>
    <t>Output Isoquant Diagram</t>
  </si>
  <si>
    <t>Production Box Diagram</t>
  </si>
  <si>
    <t xml:space="preserve">Parameters </t>
  </si>
  <si>
    <t>ALPHAS</t>
  </si>
  <si>
    <t>Endowments</t>
  </si>
  <si>
    <t>Unit Factor Demands</t>
  </si>
  <si>
    <t>Transformation Locus Diagram</t>
  </si>
  <si>
    <t>Offer Curve Diagram</t>
  </si>
  <si>
    <t>Productivity</t>
  </si>
  <si>
    <t>World Prices</t>
  </si>
  <si>
    <t>Trade Taxes (%)</t>
  </si>
  <si>
    <t>Consumption Taxes (%)</t>
  </si>
  <si>
    <t>Output Subsidies (%)</t>
  </si>
  <si>
    <t>Capital Taxes (%)</t>
  </si>
  <si>
    <t>Labor Taxes (%)</t>
  </si>
  <si>
    <t>Fixed for tariffs</t>
  </si>
  <si>
    <t>Fixed for tariff</t>
  </si>
  <si>
    <t>Offer Curve Diagram Data</t>
  </si>
  <si>
    <t>Producer Prices</t>
  </si>
  <si>
    <t>Consumer Prices</t>
  </si>
  <si>
    <t>Trade Prices</t>
  </si>
  <si>
    <t>Fixed for output subsidies</t>
  </si>
  <si>
    <t>Fixed for consumption taxes</t>
  </si>
  <si>
    <t>Fixed for output subsidy</t>
  </si>
  <si>
    <t>X Factor Price Ratio</t>
  </si>
  <si>
    <t>Y Factor Price Ratio</t>
  </si>
  <si>
    <t>X Unit Value Isocost</t>
  </si>
  <si>
    <t>Y Unit Value Isocost</t>
  </si>
  <si>
    <t>Fixed for input taxes</t>
  </si>
  <si>
    <t xml:space="preserve"> X Wage Rental Ratio</t>
  </si>
  <si>
    <t xml:space="preserve"> Y Wage Rental Ratio</t>
  </si>
  <si>
    <t>PX/PY*</t>
  </si>
  <si>
    <t>Producer</t>
  </si>
  <si>
    <t>World</t>
  </si>
  <si>
    <t>Consumer</t>
  </si>
  <si>
    <t>Fixed for consumption taxes on X</t>
  </si>
  <si>
    <t>Fixed for output subsidies on X</t>
  </si>
  <si>
    <t>Fixed for trade taxes on X</t>
  </si>
  <si>
    <t>Fixed for output subsidies on Y</t>
  </si>
  <si>
    <t>Factor Proportions (HOS) Model of Production with Interventions</t>
  </si>
  <si>
    <t>Output dot</t>
  </si>
  <si>
    <t>Consumption Dot</t>
  </si>
  <si>
    <t>Factor Budget Constraints</t>
  </si>
  <si>
    <t>Factor Budget Diagram</t>
  </si>
  <si>
    <t>Supply</t>
  </si>
  <si>
    <t>Demand</t>
  </si>
  <si>
    <t>Labor Demand and Supply</t>
  </si>
  <si>
    <t>w</t>
  </si>
  <si>
    <t>L</t>
  </si>
  <si>
    <t>X Demand and Supply</t>
  </si>
  <si>
    <t>PX</t>
  </si>
  <si>
    <t>QX</t>
  </si>
  <si>
    <t>CX</t>
  </si>
  <si>
    <t>PY</t>
  </si>
  <si>
    <t>Y Demand and Supply</t>
  </si>
  <si>
    <t>QY</t>
  </si>
  <si>
    <t>CY</t>
  </si>
  <si>
    <t>Labor Market</t>
  </si>
  <si>
    <t>Capital Market</t>
  </si>
  <si>
    <t>Domestic Y Market</t>
  </si>
  <si>
    <t>Domestic X Market</t>
  </si>
  <si>
    <t>Capital Demand and Supply</t>
  </si>
  <si>
    <t>r</t>
  </si>
  <si>
    <t>K</t>
  </si>
  <si>
    <t>Line</t>
  </si>
  <si>
    <t>Lines</t>
  </si>
  <si>
    <t>Exercises</t>
  </si>
  <si>
    <t>The model can simulate the general equilibrium effect of any type of price intervention. For example, to simulate a tariff, increase the value in cell E16. Note how as the tariff increases, producers of X respond by increasing production, while consumers respond by decreasing consumption, the net result being that imports fall, and the welfare index declines. Note also that the Y sector is affected also, as resources are drawn into X production, output of Y declines, as do exports. The tariff also filters down to incomes. Because X is capital intensive, the tariff raises the return to capital and lowers the return to labor. Hence, we might expect owner of capital to be in favor, and owners of labor to be opposed, to the measure. Import subsidies can be examined using a negative value in E16. Export taxes/subsidies by changing F16, consumption taxes/subsidies by changing E13 or F13, production taxes by changing E10 or F10, and input taxes by changing E6, F6, E7 or F7.</t>
  </si>
  <si>
    <t>Try increasing the tariff gradually using the spinner next to cell E16. As you hold the spinner down, watch what happens to the welfare index in cell E22. As the tariff increases, the welfare index falls - the tariff introduces deadweight losses into the economy. As you continue to increase the tariff you should also notice that the welfare index begins to decline at a faster and faster rate, the deadweight loss is increasing in the size of the tariff, so larger tariffs have a much greater welfare cost than smaller ones. Similar results hold for all other types of intervention.</t>
  </si>
  <si>
    <t>There are other basic relationships among the interventions. Simulate a tariff using a positive value (say 25 percent) in cell E16. Observe the effects. Now remove the tariff, and simulate a tax of 25 percent on consumption of X (cell E13) and a subsidy of 25 percent on production of X (cell E10). Any difference? No, these policies are the same. A tariff is equivalent to a production subsidy plus a consumption tax at the same percentage rate. Given that this is the case, why do more people tend to support tariffs than production/consumption taxes/subsidies? In a similar way, you should be able to establish that an export tax is equivalent to a production tax plus consumption subsidy, that an export subsidy is equivalent to a production subsidy plus a consumption tax, and that a uniform factor tax on a sector is equivalent to an output tax.</t>
  </si>
  <si>
    <t>A related principle applies to trade taxes. The Lerner symmetry theorem (Lerner, 1936) states that an import tax is equivalent to an export tax. To see this consider a tariff of 25 percent (cell E16). Observe the results. Now consider an export tax of the same magnitude instead. Put -20 in cell F16. Any difference? No, the policies are identical. One way to think about this is as follows. A tariff is equivalent to a production subsidy plus a consumption tax in X. But this is equivalent to production tax and a consumption subsidy in Y, as we have established. But, this in turn is equivalent to an export tax. The symmetry theorem basically says that if you want to restrict imports, you will be restricting exports too.</t>
  </si>
  <si>
    <t>A corollary to the symmetry theorem is the tariff compensation principle. This states that it is possible to offset the pro-import competing sector bias of a tariff with a pro-export sector policy, i.e., an export subsidy. To simulate, consider a tariff of 25 percent in cell E16. Leaving this in place, put a subsidy of 25 percent in the cell F16. What happens? Nothing seems to change except income and factor prices, everything real is at the same level as with free trade. But did income and factor prices really change? No, the prices have all just risen by 25 percent. In other words, this is just like the numeraire shock considered under the HOS model. Another way of thinking about the result is this: A tariff is equivalent to an export tax. So a tariff plus an export subsidy is just an export tax plus an export subsidy. Hence, if they are at the same rate, the policy simply gives to exporters with one hand and takes with the other. It should not therefore, and does not, have any real effect.</t>
  </si>
  <si>
    <t>Suppose that for security reasons, the government of the country represented by the model wanted to ensure that production of X was at least 100 units. A tariff of 26.2 percent would work (verify this for yourself), but would it be the best policy? To answer the question we can consider all of the possible policies that would achieve the objective, and rank them in order of efficiency (i.e., those with higher welfare index values are better). Notice that we are not saying anything about whether the objective is good. Verify that the objective could also be achieved with a production subsidy of 26.2 percent, or a capital subsidy of roughly -33.3 percent, or with a labor subsidy of roughly -39.8 percent. Which is the most efficient? The production subsidy. Why? It follows the specificity rule - the most efficient intervention is the one that most closely affects the objective. Using a similar approach, verify that the most efficient way to achieve a consumption objective is with a consumption tax/subsidy, an employment objective is with a factor tax/subsidy, and a trade objective is with a trade tax/subsidy. The classic reference is Bhagwati and Srinivasan (1969).</t>
  </si>
  <si>
    <t>Tariff jumping investment is where the existence of a tariff prompts a foreign supplier to invest in a country to supply domestically (and thus avoid the tariff). What are the consequences? Try imposing a tariff of, say, 50 percent. Now, with the tariff in place, increase the endowment of capital by 1 unit (cell L4), this represents the investment. Keep a close eye on income in cell E20. It increases by 1.15, and welfare increases too. Thus it appears that a tariff would raise welfare if it attracted investment from overseas. But not so fast... Income increases by 1.15, but the value of the unit of new capital in the market is 1.44 (i.e., the price of a unit of capital). Our model doesn't identify foreign/domestic capital, it simply assumes all capital is domestically owned. But if this is really foreign capital, then the income is owned by foreign interests, and must be subtracted from the total. But this means that domestic income must have fallen. Hence, tariff jumping investment lowers the value of domestic production at world prices, and lowers welfare. For full analysis of this result see Brecher and Diaz-Alejandro (1977). </t>
  </si>
  <si>
    <r>
      <t xml:space="preserve">A consequence of the no money illusion property of general equilibrium models is that (in the two-sector model) production and consumption taxes are closely related. Consider the following experiment. Place a value of 25 in cell E10. This is a production subsidy to X. Observe the effects. Now remove the subsidy and place a tax on sector Y using the value -20 in cell F10. What is the difference? The answer is nothing, these two interventions have the same effect on relative prices, since 1/0.8=1.25. Try the same experiment for consumption or factor taxes. You will get the same result. In the literature we often see the term production (or consumption or factor) tax </t>
    </r>
    <r>
      <rPr>
        <i/>
        <sz val="11"/>
        <color indexed="23"/>
        <rFont val="Calibri"/>
        <family val="2"/>
      </rPr>
      <t>cum</t>
    </r>
    <r>
      <rPr>
        <sz val="11"/>
        <color indexed="23"/>
        <rFont val="Calibri"/>
        <family val="2"/>
      </rPr>
      <t xml:space="preserve"> subsidy, to draw attention to the fact that the sector in which the intervention occurs does not really matter.</t>
    </r>
  </si>
  <si>
    <t>1. Basic General Equilibrium Effects of Interventions</t>
  </si>
  <si>
    <t>2. Tariff Size and Welfare Costs</t>
  </si>
  <si>
    <t>3. Taxes or Subsidies?</t>
  </si>
  <si>
    <t>4. Intervention Concordances</t>
  </si>
  <si>
    <t>5. Lerner Symmetry Theorem</t>
  </si>
  <si>
    <t>6. Tariff Compensation Principle</t>
  </si>
  <si>
    <t>7. Non-economic Objectives and Specificity</t>
  </si>
  <si>
    <t>8. Tariff Jumping Investment </t>
  </si>
</sst>
</file>

<file path=xl/styles.xml><?xml version="1.0" encoding="utf-8"?>
<styleSheet xmlns="http://schemas.openxmlformats.org/spreadsheetml/2006/main">
  <numFmts count="3">
    <numFmt numFmtId="164" formatCode="0.0"/>
    <numFmt numFmtId="165" formatCode="0.0_ "/>
    <numFmt numFmtId="166" formatCode="0.0000000"/>
  </numFmts>
  <fonts count="27">
    <font>
      <sz val="10"/>
      <name val="Arial"/>
      <family val="2"/>
    </font>
    <font>
      <sz val="10"/>
      <name val="Arial"/>
      <family val="2"/>
    </font>
    <font>
      <sz val="9"/>
      <name val="Arial"/>
      <family val="2"/>
    </font>
    <font>
      <sz val="10"/>
      <color indexed="9"/>
      <name val="Arial"/>
      <family val="2"/>
    </font>
    <font>
      <sz val="10"/>
      <name val="Arial"/>
      <family val="2"/>
    </font>
    <font>
      <b/>
      <sz val="10"/>
      <name val="Arial"/>
      <family val="2"/>
    </font>
    <font>
      <sz val="10"/>
      <name val="Arial"/>
      <family val="2"/>
    </font>
    <font>
      <sz val="10"/>
      <name val="Arial"/>
      <family val="2"/>
    </font>
    <font>
      <sz val="10"/>
      <name val="Arial"/>
      <family val="2"/>
    </font>
    <font>
      <b/>
      <sz val="10"/>
      <color indexed="9"/>
      <name val="Arial"/>
      <family val="2"/>
    </font>
    <font>
      <b/>
      <sz val="12"/>
      <color indexed="9"/>
      <name val="Arial"/>
      <family val="2"/>
    </font>
    <font>
      <b/>
      <sz val="10"/>
      <color indexed="62"/>
      <name val="Arial"/>
      <family val="2"/>
    </font>
    <font>
      <sz val="10"/>
      <color indexed="62"/>
      <name val="Arial"/>
      <family val="2"/>
    </font>
    <font>
      <sz val="10"/>
      <color indexed="18"/>
      <name val="Arial"/>
      <family val="2"/>
    </font>
    <font>
      <sz val="10"/>
      <color indexed="31"/>
      <name val="Arial"/>
      <family val="2"/>
    </font>
    <font>
      <b/>
      <sz val="12"/>
      <color indexed="9"/>
      <name val="Arial"/>
      <family val="2"/>
    </font>
    <font>
      <sz val="10"/>
      <color indexed="9"/>
      <name val="Arial"/>
      <family val="2"/>
    </font>
    <font>
      <sz val="9"/>
      <color indexed="62"/>
      <name val="Arial"/>
      <family val="2"/>
    </font>
    <font>
      <sz val="10"/>
      <color indexed="10"/>
      <name val="Arial"/>
      <family val="2"/>
    </font>
    <font>
      <sz val="10"/>
      <color indexed="40"/>
      <name val="Arial"/>
      <family val="2"/>
    </font>
    <font>
      <sz val="11"/>
      <color indexed="23"/>
      <name val="Calibri"/>
      <family val="2"/>
    </font>
    <font>
      <i/>
      <sz val="11"/>
      <color indexed="23"/>
      <name val="Calibri"/>
      <family val="2"/>
    </font>
    <font>
      <sz val="14"/>
      <color rgb="FF0B5394"/>
      <name val="Calibri"/>
      <family val="2"/>
      <scheme val="minor"/>
    </font>
    <font>
      <sz val="11"/>
      <name val="Calibri"/>
      <family val="2"/>
      <scheme val="minor"/>
    </font>
    <font>
      <sz val="11"/>
      <color rgb="FF0B5394"/>
      <name val="Calibri"/>
      <family val="2"/>
      <scheme val="minor"/>
    </font>
    <font>
      <sz val="11"/>
      <color rgb="FF666666"/>
      <name val="Calibri"/>
      <family val="2"/>
      <scheme val="minor"/>
    </font>
    <font>
      <sz val="11"/>
      <color theme="1" tint="0.34998626667073579"/>
      <name val="Calibri"/>
      <family val="2"/>
      <scheme val="minor"/>
    </font>
  </fonts>
  <fills count="10">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31"/>
        <bgColor indexed="64"/>
      </patternFill>
    </fill>
    <fill>
      <patternFill patternType="solid">
        <fgColor indexed="44"/>
        <bgColor indexed="64"/>
      </patternFill>
    </fill>
    <fill>
      <patternFill patternType="solid">
        <fgColor indexed="9"/>
        <bgColor indexed="64"/>
      </patternFill>
    </fill>
    <fill>
      <patternFill patternType="solid">
        <fgColor theme="0" tint="-0.249977111117893"/>
        <bgColor indexed="64"/>
      </patternFill>
    </fill>
    <fill>
      <patternFill patternType="solid">
        <fgColor theme="3"/>
        <bgColor indexed="64"/>
      </patternFill>
    </fill>
    <fill>
      <patternFill patternType="solid">
        <fgColor theme="0"/>
        <bgColor indexed="64"/>
      </patternFill>
    </fill>
  </fills>
  <borders count="7">
    <border>
      <left/>
      <right/>
      <top/>
      <bottom/>
      <diagonal/>
    </border>
    <border>
      <left style="thin">
        <color indexed="64"/>
      </left>
      <right/>
      <top style="thin">
        <color indexed="18"/>
      </top>
      <bottom style="thin">
        <color indexed="64"/>
      </bottom>
      <diagonal/>
    </border>
    <border>
      <left style="thin">
        <color indexed="18"/>
      </left>
      <right style="thin">
        <color indexed="18"/>
      </right>
      <top style="thin">
        <color indexed="18"/>
      </top>
      <bottom style="thin">
        <color indexed="1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double">
        <color theme="3"/>
      </bottom>
      <diagonal/>
    </border>
  </borders>
  <cellStyleXfs count="1">
    <xf numFmtId="0" fontId="0" fillId="0" borderId="0"/>
  </cellStyleXfs>
  <cellXfs count="93">
    <xf numFmtId="0" fontId="0" fillId="0" borderId="0" xfId="0"/>
    <xf numFmtId="0" fontId="6" fillId="2" borderId="0" xfId="0" applyFont="1" applyFill="1" applyBorder="1"/>
    <xf numFmtId="0" fontId="4" fillId="2" borderId="0" xfId="0" applyFont="1" applyFill="1" applyBorder="1"/>
    <xf numFmtId="164" fontId="4" fillId="2" borderId="0" xfId="0" applyNumberFormat="1" applyFont="1" applyFill="1" applyBorder="1"/>
    <xf numFmtId="0" fontId="5" fillId="2" borderId="0" xfId="0" applyFont="1" applyFill="1" applyBorder="1" applyAlignment="1">
      <alignment horizontal="center"/>
    </xf>
    <xf numFmtId="0" fontId="7" fillId="2" borderId="0" xfId="0" applyFont="1" applyFill="1" applyBorder="1"/>
    <xf numFmtId="164" fontId="7" fillId="2" borderId="0" xfId="0" applyNumberFormat="1" applyFont="1" applyFill="1" applyBorder="1"/>
    <xf numFmtId="164" fontId="6" fillId="2" borderId="0" xfId="0" applyNumberFormat="1" applyFont="1" applyFill="1" applyBorder="1"/>
    <xf numFmtId="165" fontId="4" fillId="2" borderId="0" xfId="0" applyNumberFormat="1" applyFont="1" applyFill="1" applyBorder="1" applyAlignment="1">
      <alignment horizontal="right"/>
    </xf>
    <xf numFmtId="165" fontId="4" fillId="2" borderId="0" xfId="0" applyNumberFormat="1" applyFont="1" applyFill="1" applyBorder="1"/>
    <xf numFmtId="0" fontId="6" fillId="3" borderId="0" xfId="0" applyFont="1" applyFill="1" applyBorder="1"/>
    <xf numFmtId="2" fontId="9" fillId="4" borderId="0" xfId="0" applyNumberFormat="1" applyFont="1" applyFill="1" applyBorder="1"/>
    <xf numFmtId="2" fontId="3" fillId="4" borderId="0" xfId="0" applyNumberFormat="1" applyFont="1" applyFill="1" applyBorder="1"/>
    <xf numFmtId="0" fontId="6" fillId="4" borderId="0" xfId="0" applyFont="1" applyFill="1" applyBorder="1"/>
    <xf numFmtId="2" fontId="1" fillId="4" borderId="0" xfId="0" applyNumberFormat="1" applyFont="1" applyFill="1" applyBorder="1"/>
    <xf numFmtId="2" fontId="5" fillId="4" borderId="0" xfId="0" applyNumberFormat="1" applyFont="1" applyFill="1" applyBorder="1"/>
    <xf numFmtId="2" fontId="6" fillId="4" borderId="0" xfId="0" applyNumberFormat="1" applyFont="1" applyFill="1" applyBorder="1"/>
    <xf numFmtId="2" fontId="7" fillId="4" borderId="0" xfId="0" applyNumberFormat="1" applyFont="1" applyFill="1" applyBorder="1"/>
    <xf numFmtId="0" fontId="7" fillId="4" borderId="0" xfId="0" applyFont="1" applyFill="1" applyBorder="1"/>
    <xf numFmtId="0" fontId="1" fillId="4" borderId="0" xfId="0" applyFont="1" applyFill="1" applyBorder="1"/>
    <xf numFmtId="0" fontId="5" fillId="4" borderId="0" xfId="0" applyFont="1" applyFill="1" applyBorder="1"/>
    <xf numFmtId="0" fontId="5" fillId="4" borderId="0" xfId="0" applyFont="1" applyFill="1" applyBorder="1" applyAlignment="1">
      <alignment horizontal="center"/>
    </xf>
    <xf numFmtId="2" fontId="8" fillId="4" borderId="0" xfId="0" applyNumberFormat="1" applyFont="1" applyFill="1" applyBorder="1"/>
    <xf numFmtId="2" fontId="11" fillId="4" borderId="0" xfId="0" applyNumberFormat="1" applyFont="1" applyFill="1" applyBorder="1"/>
    <xf numFmtId="2" fontId="12" fillId="4" borderId="0" xfId="0" applyNumberFormat="1" applyFont="1" applyFill="1" applyBorder="1"/>
    <xf numFmtId="2" fontId="13" fillId="4" borderId="0" xfId="0" applyNumberFormat="1" applyFont="1" applyFill="1" applyBorder="1" applyAlignment="1">
      <alignment horizontal="center"/>
    </xf>
    <xf numFmtId="0" fontId="12" fillId="4" borderId="0" xfId="0" applyFont="1" applyFill="1" applyBorder="1" applyAlignment="1">
      <alignment horizontal="center"/>
    </xf>
    <xf numFmtId="0" fontId="11" fillId="4" borderId="0" xfId="0" applyFont="1" applyFill="1" applyBorder="1" applyAlignment="1">
      <alignment horizontal="center"/>
    </xf>
    <xf numFmtId="0" fontId="14" fillId="4" borderId="0" xfId="0" applyFont="1" applyFill="1" applyBorder="1"/>
    <xf numFmtId="2" fontId="13" fillId="5" borderId="1" xfId="0" applyNumberFormat="1" applyFont="1" applyFill="1" applyBorder="1"/>
    <xf numFmtId="2" fontId="13" fillId="5" borderId="2" xfId="0" applyNumberFormat="1" applyFont="1" applyFill="1" applyBorder="1"/>
    <xf numFmtId="2" fontId="13" fillId="5" borderId="3" xfId="0" applyNumberFormat="1" applyFont="1" applyFill="1" applyBorder="1"/>
    <xf numFmtId="2" fontId="13" fillId="4" borderId="0" xfId="0" applyNumberFormat="1" applyFont="1" applyFill="1" applyBorder="1"/>
    <xf numFmtId="2" fontId="13" fillId="6" borderId="3" xfId="0" applyNumberFormat="1" applyFont="1" applyFill="1" applyBorder="1" applyProtection="1">
      <protection locked="0"/>
    </xf>
    <xf numFmtId="2" fontId="13" fillId="6" borderId="3" xfId="0" applyNumberFormat="1" applyFont="1" applyFill="1" applyBorder="1"/>
    <xf numFmtId="0" fontId="11" fillId="4" borderId="0" xfId="0" applyFont="1" applyFill="1" applyBorder="1"/>
    <xf numFmtId="0" fontId="12" fillId="4" borderId="0" xfId="0" applyFont="1" applyFill="1" applyBorder="1"/>
    <xf numFmtId="0" fontId="5" fillId="4" borderId="0" xfId="0" applyFont="1" applyFill="1" applyBorder="1" applyAlignment="1">
      <alignment horizontal="left"/>
    </xf>
    <xf numFmtId="0" fontId="0" fillId="4" borderId="0" xfId="0" applyFont="1" applyFill="1" applyBorder="1"/>
    <xf numFmtId="2" fontId="13" fillId="6" borderId="4" xfId="0" applyNumberFormat="1" applyFont="1" applyFill="1" applyBorder="1" applyProtection="1">
      <protection locked="0"/>
    </xf>
    <xf numFmtId="2" fontId="13" fillId="5" borderId="4" xfId="0" applyNumberFormat="1" applyFont="1" applyFill="1" applyBorder="1"/>
    <xf numFmtId="2" fontId="13" fillId="4" borderId="0" xfId="0" applyNumberFormat="1" applyFont="1" applyFill="1" applyBorder="1" applyProtection="1">
      <protection locked="0"/>
    </xf>
    <xf numFmtId="2" fontId="13" fillId="6" borderId="2" xfId="0" applyNumberFormat="1" applyFont="1" applyFill="1" applyBorder="1" applyProtection="1">
      <protection locked="0"/>
    </xf>
    <xf numFmtId="2" fontId="13" fillId="5" borderId="5" xfId="0" applyNumberFormat="1" applyFont="1" applyFill="1" applyBorder="1"/>
    <xf numFmtId="0" fontId="0" fillId="2" borderId="0" xfId="0" applyFill="1" applyBorder="1" applyAlignment="1">
      <alignment horizontal="left"/>
    </xf>
    <xf numFmtId="0" fontId="0" fillId="2" borderId="0" xfId="0" applyFill="1" applyBorder="1"/>
    <xf numFmtId="164" fontId="18" fillId="2" borderId="0" xfId="0" applyNumberFormat="1" applyFont="1" applyFill="1" applyBorder="1"/>
    <xf numFmtId="164" fontId="19" fillId="2" borderId="0" xfId="0" applyNumberFormat="1" applyFont="1" applyFill="1" applyBorder="1"/>
    <xf numFmtId="166" fontId="4" fillId="2" borderId="0" xfId="0" applyNumberFormat="1" applyFont="1" applyFill="1" applyBorder="1"/>
    <xf numFmtId="2" fontId="13" fillId="5" borderId="4" xfId="0" applyNumberFormat="1" applyFont="1" applyFill="1" applyBorder="1" applyProtection="1">
      <protection locked="0"/>
    </xf>
    <xf numFmtId="2" fontId="14" fillId="4" borderId="0" xfId="0" applyNumberFormat="1" applyFont="1" applyFill="1" applyBorder="1"/>
    <xf numFmtId="164" fontId="0" fillId="2" borderId="0" xfId="0" applyNumberFormat="1" applyFill="1" applyBorder="1"/>
    <xf numFmtId="2" fontId="4" fillId="2" borderId="0" xfId="0" applyNumberFormat="1" applyFont="1" applyFill="1" applyBorder="1"/>
    <xf numFmtId="0" fontId="4" fillId="7" borderId="0" xfId="0" applyFont="1" applyFill="1" applyBorder="1"/>
    <xf numFmtId="0" fontId="6" fillId="7" borderId="0" xfId="0" applyFont="1" applyFill="1" applyBorder="1"/>
    <xf numFmtId="0" fontId="3" fillId="7" borderId="0" xfId="0" applyFont="1" applyFill="1" applyBorder="1" applyAlignment="1">
      <alignment horizontal="center"/>
    </xf>
    <xf numFmtId="2" fontId="13" fillId="7" borderId="0" xfId="0" applyNumberFormat="1" applyFont="1" applyFill="1" applyBorder="1"/>
    <xf numFmtId="2" fontId="0" fillId="7" borderId="0" xfId="0" applyNumberFormat="1" applyFont="1" applyFill="1" applyBorder="1"/>
    <xf numFmtId="0" fontId="4" fillId="8" borderId="0" xfId="0" applyFont="1" applyFill="1" applyBorder="1"/>
    <xf numFmtId="0" fontId="0" fillId="8" borderId="0" xfId="0" applyFill="1" applyBorder="1"/>
    <xf numFmtId="0" fontId="16" fillId="8" borderId="0" xfId="0" applyFont="1" applyFill="1" applyBorder="1"/>
    <xf numFmtId="0" fontId="6" fillId="8" borderId="0" xfId="0" applyFont="1" applyFill="1" applyBorder="1"/>
    <xf numFmtId="0" fontId="7" fillId="8" borderId="0" xfId="0" applyFont="1" applyFill="1" applyBorder="1"/>
    <xf numFmtId="0" fontId="15" fillId="8" borderId="0" xfId="0" applyFont="1" applyFill="1" applyBorder="1"/>
    <xf numFmtId="0" fontId="10" fillId="8" borderId="0" xfId="0" applyFont="1" applyFill="1" applyBorder="1"/>
    <xf numFmtId="0" fontId="3" fillId="8" borderId="0" xfId="0" applyFont="1" applyFill="1" applyBorder="1"/>
    <xf numFmtId="0" fontId="16" fillId="8" borderId="0" xfId="0" applyFont="1" applyFill="1" applyBorder="1" applyAlignment="1">
      <alignment horizontal="center"/>
    </xf>
    <xf numFmtId="0" fontId="0" fillId="8" borderId="0" xfId="0" applyFont="1" applyFill="1" applyBorder="1"/>
    <xf numFmtId="0" fontId="8" fillId="8" borderId="0" xfId="0" applyFont="1" applyFill="1" applyBorder="1"/>
    <xf numFmtId="2" fontId="6" fillId="8" borderId="0" xfId="0" applyNumberFormat="1" applyFont="1" applyFill="1" applyBorder="1"/>
    <xf numFmtId="2" fontId="7" fillId="8" borderId="0" xfId="0" applyNumberFormat="1" applyFont="1" applyFill="1" applyBorder="1"/>
    <xf numFmtId="0" fontId="1" fillId="8" borderId="0" xfId="0" applyFont="1" applyFill="1" applyBorder="1" applyAlignment="1">
      <alignment horizontal="center"/>
    </xf>
    <xf numFmtId="2" fontId="8" fillId="8" borderId="0" xfId="0" applyNumberFormat="1" applyFont="1" applyFill="1" applyBorder="1"/>
    <xf numFmtId="2" fontId="6" fillId="8" borderId="0" xfId="0" applyNumberFormat="1" applyFont="1" applyFill="1" applyBorder="1" applyProtection="1">
      <protection locked="0"/>
    </xf>
    <xf numFmtId="2" fontId="5" fillId="8" borderId="0" xfId="0" applyNumberFormat="1" applyFont="1" applyFill="1" applyBorder="1"/>
    <xf numFmtId="0" fontId="11" fillId="8" borderId="0" xfId="0" applyFont="1" applyFill="1" applyBorder="1"/>
    <xf numFmtId="0" fontId="3" fillId="8" borderId="0" xfId="0" applyFont="1" applyFill="1" applyBorder="1" applyAlignment="1">
      <alignment horizontal="center"/>
    </xf>
    <xf numFmtId="0" fontId="17" fillId="8" borderId="0" xfId="0" applyFont="1" applyFill="1" applyBorder="1"/>
    <xf numFmtId="0" fontId="2" fillId="8" borderId="0" xfId="0" applyFont="1" applyFill="1" applyBorder="1"/>
    <xf numFmtId="2" fontId="8" fillId="8" borderId="0" xfId="0" applyNumberFormat="1" applyFont="1" applyFill="1" applyBorder="1" applyProtection="1">
      <protection locked="0"/>
    </xf>
    <xf numFmtId="0" fontId="12" fillId="8" borderId="0" xfId="0" applyFont="1" applyFill="1" applyBorder="1"/>
    <xf numFmtId="0" fontId="5" fillId="8" borderId="0" xfId="0" applyFont="1" applyFill="1" applyBorder="1"/>
    <xf numFmtId="0" fontId="22" fillId="9" borderId="6" xfId="0" applyFont="1" applyFill="1" applyBorder="1" applyAlignment="1">
      <alignment wrapText="1"/>
    </xf>
    <xf numFmtId="0" fontId="23" fillId="9" borderId="6" xfId="0" applyFont="1" applyFill="1" applyBorder="1"/>
    <xf numFmtId="0" fontId="0" fillId="9" borderId="0" xfId="0" applyFill="1"/>
    <xf numFmtId="0" fontId="23" fillId="9" borderId="0" xfId="0" applyFont="1" applyFill="1" applyAlignment="1">
      <alignment horizontal="center" wrapText="1"/>
    </xf>
    <xf numFmtId="0" fontId="24" fillId="9" borderId="0" xfId="0" applyFont="1" applyFill="1" applyAlignment="1">
      <alignment horizontal="left" wrapText="1"/>
    </xf>
    <xf numFmtId="0" fontId="25" fillId="9" borderId="0" xfId="0" applyFont="1" applyFill="1" applyAlignment="1">
      <alignment horizontal="left" wrapText="1"/>
    </xf>
    <xf numFmtId="0" fontId="26" fillId="9" borderId="0" xfId="0" applyFont="1" applyFill="1" applyAlignment="1">
      <alignment wrapText="1"/>
    </xf>
    <xf numFmtId="0" fontId="26" fillId="9" borderId="0" xfId="0" applyFont="1" applyFill="1" applyAlignment="1">
      <alignment vertical="top" wrapText="1"/>
    </xf>
    <xf numFmtId="0" fontId="3" fillId="8" borderId="0" xfId="0" applyFont="1" applyFill="1" applyBorder="1" applyAlignment="1">
      <alignment horizontal="center"/>
    </xf>
    <xf numFmtId="2" fontId="16" fillId="8" borderId="0" xfId="0" applyNumberFormat="1" applyFont="1" applyFill="1" applyBorder="1" applyAlignment="1" applyProtection="1">
      <alignment horizontal="center"/>
      <protection locked="0"/>
    </xf>
    <xf numFmtId="0" fontId="16" fillId="8" borderId="0"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397873399431699"/>
          <c:y val="0.15043803582629703"/>
          <c:w val="0.83010927022276171"/>
          <c:h val="0.71485661401945488"/>
        </c:manualLayout>
      </c:layout>
      <c:scatterChart>
        <c:scatterStyle val="smoothMarker"/>
        <c:ser>
          <c:idx val="6"/>
          <c:order val="0"/>
          <c:tx>
            <c:v>X Isoquant</c:v>
          </c:tx>
          <c:spPr>
            <a:ln w="12700">
              <a:solidFill>
                <a:srgbClr val="3366FF"/>
              </a:solidFill>
              <a:prstDash val="solid"/>
            </a:ln>
          </c:spPr>
          <c:marker>
            <c:symbol val="none"/>
          </c:marker>
          <c:xVal>
            <c:numRef>
              <c:f>Model!$BQ$5:$BQ$40</c:f>
              <c:numCache>
                <c:formatCode>0.0</c:formatCode>
                <c:ptCount val="36"/>
                <c:pt idx="0">
                  <c:v>202.5</c:v>
                </c:pt>
                <c:pt idx="1">
                  <c:v>140.26581411259272</c:v>
                </c:pt>
                <c:pt idx="2">
                  <c:v>99.354292744317092</c:v>
                </c:pt>
                <c:pt idx="3">
                  <c:v>71.781906437972552</c:v>
                </c:pt>
                <c:pt idx="4">
                  <c:v>52.78420480412408</c:v>
                </c:pt>
                <c:pt idx="5">
                  <c:v>39.433455454502983</c:v>
                </c:pt>
                <c:pt idx="6">
                  <c:v>29.883030830414263</c:v>
                </c:pt>
                <c:pt idx="7">
                  <c:v>22.940598684965856</c:v>
                </c:pt>
                <c:pt idx="8">
                  <c:v>17.819844663415061</c:v>
                </c:pt>
                <c:pt idx="9">
                  <c:v>13.992171090266291</c:v>
                </c:pt>
                <c:pt idx="10">
                  <c:v>11.095962354664149</c:v>
                </c:pt>
                <c:pt idx="11">
                  <c:v>8.8798453330167479</c:v>
                </c:pt>
                <c:pt idx="12">
                  <c:v>7.1664926303062213</c:v>
                </c:pt>
                <c:pt idx="13">
                  <c:v>5.8291040176322531</c:v>
                </c:pt>
                <c:pt idx="14">
                  <c:v>4.7758653428116364</c:v>
                </c:pt>
                <c:pt idx="15">
                  <c:v>3.9395175336696591</c:v>
                </c:pt>
                <c:pt idx="16">
                  <c:v>3.2702534771751379</c:v>
                </c:pt>
                <c:pt idx="17">
                  <c:v>2.7308156097664105</c:v>
                </c:pt>
                <c:pt idx="18">
                  <c:v>2.2930697364733681</c:v>
                </c:pt>
                <c:pt idx="19">
                  <c:v>1.9355823631194136</c:v>
                </c:pt>
                <c:pt idx="20">
                  <c:v>1.6418887389271568</c:v>
                </c:pt>
                <c:pt idx="21">
                  <c:v>1.3992418857459463</c:v>
                </c:pt>
                <c:pt idx="22">
                  <c:v>1.1977002574806834</c:v>
                </c:pt>
                <c:pt idx="23">
                  <c:v>1.029456275336784</c:v>
                </c:pt>
                <c:pt idx="24">
                  <c:v>0.88833787614957571</c:v>
                </c:pt>
                <c:pt idx="25">
                  <c:v>0.76943547525927192</c:v>
                </c:pt>
                <c:pt idx="26">
                  <c:v>0.66882063253587432</c:v>
                </c:pt>
                <c:pt idx="27">
                  <c:v>0.58333232503616905</c:v>
                </c:pt>
                <c:pt idx="28">
                  <c:v>0.51041345157801543</c:v>
                </c:pt>
                <c:pt idx="29">
                  <c:v>0.44798493716625454</c:v>
                </c:pt>
                <c:pt idx="30">
                  <c:v>0.39434818078386397</c:v>
                </c:pt>
                <c:pt idx="31">
                  <c:v>0.34810901266008154</c:v>
                </c:pt>
                <c:pt idx="32">
                  <c:v>0.30811807958396981</c:v>
                </c:pt>
                <c:pt idx="33">
                  <c:v>0.27342385411039605</c:v>
                </c:pt>
                <c:pt idx="34">
                  <c:v>0.2432354011677782</c:v>
                </c:pt>
                <c:pt idx="35">
                  <c:v>0.21689272866882461</c:v>
                </c:pt>
              </c:numCache>
            </c:numRef>
          </c:xVal>
          <c:yVal>
            <c:numRef>
              <c:f>Model!$BR$5:$BR$40</c:f>
              <c:numCache>
                <c:formatCode>0.0</c:formatCode>
                <c:ptCount val="36"/>
                <c:pt idx="0">
                  <c:v>44.868529986295179</c:v>
                </c:pt>
                <c:pt idx="1">
                  <c:v>47.872286272401034</c:v>
                </c:pt>
                <c:pt idx="2">
                  <c:v>50.876042558506889</c:v>
                </c:pt>
                <c:pt idx="3">
                  <c:v>53.879798844612743</c:v>
                </c:pt>
                <c:pt idx="4">
                  <c:v>56.883555130718598</c:v>
                </c:pt>
                <c:pt idx="5">
                  <c:v>59.887311416824453</c:v>
                </c:pt>
                <c:pt idx="6">
                  <c:v>62.891067702930307</c:v>
                </c:pt>
                <c:pt idx="7">
                  <c:v>65.894823989036155</c:v>
                </c:pt>
                <c:pt idx="8">
                  <c:v>68.89858027514201</c:v>
                </c:pt>
                <c:pt idx="9">
                  <c:v>71.902336561247864</c:v>
                </c:pt>
                <c:pt idx="10">
                  <c:v>74.906092847353719</c:v>
                </c:pt>
                <c:pt idx="11">
                  <c:v>77.909849133459574</c:v>
                </c:pt>
                <c:pt idx="12">
                  <c:v>80.913605419565428</c:v>
                </c:pt>
                <c:pt idx="13">
                  <c:v>83.917361705671283</c:v>
                </c:pt>
                <c:pt idx="14">
                  <c:v>86.921117991777137</c:v>
                </c:pt>
                <c:pt idx="15">
                  <c:v>89.924874277882992</c:v>
                </c:pt>
                <c:pt idx="16">
                  <c:v>92.928630563988847</c:v>
                </c:pt>
                <c:pt idx="17">
                  <c:v>95.932386850094701</c:v>
                </c:pt>
                <c:pt idx="18">
                  <c:v>98.936143136200556</c:v>
                </c:pt>
                <c:pt idx="19">
                  <c:v>101.93989942230641</c:v>
                </c:pt>
                <c:pt idx="20">
                  <c:v>104.94365570841227</c:v>
                </c:pt>
                <c:pt idx="21">
                  <c:v>107.94741199451812</c:v>
                </c:pt>
                <c:pt idx="22">
                  <c:v>110.95116828062397</c:v>
                </c:pt>
                <c:pt idx="23">
                  <c:v>113.95492456672983</c:v>
                </c:pt>
                <c:pt idx="24">
                  <c:v>116.95868085283568</c:v>
                </c:pt>
                <c:pt idx="25">
                  <c:v>119.96243713894154</c:v>
                </c:pt>
                <c:pt idx="26">
                  <c:v>122.96619342504739</c:v>
                </c:pt>
                <c:pt idx="27">
                  <c:v>125.96994971115325</c:v>
                </c:pt>
                <c:pt idx="28">
                  <c:v>128.97370599725909</c:v>
                </c:pt>
                <c:pt idx="29">
                  <c:v>131.97746228336493</c:v>
                </c:pt>
                <c:pt idx="30">
                  <c:v>134.98121856947077</c:v>
                </c:pt>
                <c:pt idx="31">
                  <c:v>137.98497485557661</c:v>
                </c:pt>
                <c:pt idx="32">
                  <c:v>140.98873114168245</c:v>
                </c:pt>
                <c:pt idx="33">
                  <c:v>143.99248742778829</c:v>
                </c:pt>
                <c:pt idx="34">
                  <c:v>146.99624371389413</c:v>
                </c:pt>
                <c:pt idx="35">
                  <c:v>150</c:v>
                </c:pt>
              </c:numCache>
            </c:numRef>
          </c:yVal>
          <c:smooth val="1"/>
        </c:ser>
        <c:ser>
          <c:idx val="1"/>
          <c:order val="1"/>
          <c:tx>
            <c:v>X Factor Intensity</c:v>
          </c:tx>
          <c:spPr>
            <a:ln w="12700">
              <a:solidFill>
                <a:srgbClr val="000080"/>
              </a:solidFill>
              <a:prstDash val="solid"/>
            </a:ln>
          </c:spPr>
          <c:marker>
            <c:symbol val="none"/>
          </c:marker>
          <c:dPt>
            <c:idx val="1"/>
            <c:marker>
              <c:symbol val="circle"/>
              <c:size val="5"/>
              <c:spPr>
                <a:solidFill>
                  <a:sysClr val="windowText" lastClr="000000"/>
                </a:solidFill>
                <a:ln>
                  <a:noFill/>
                </a:ln>
              </c:spPr>
            </c:marker>
          </c:dPt>
          <c:xVal>
            <c:numRef>
              <c:f>Model!$CC$5:$CC$6</c:f>
              <c:numCache>
                <c:formatCode>0.0</c:formatCode>
                <c:ptCount val="2"/>
                <c:pt idx="0">
                  <c:v>0</c:v>
                </c:pt>
                <c:pt idx="1">
                  <c:v>11.329823264812003</c:v>
                </c:pt>
              </c:numCache>
            </c:numRef>
          </c:xVal>
          <c:yVal>
            <c:numRef>
              <c:f>Model!$CD$5:$CD$6</c:f>
              <c:numCache>
                <c:formatCode>0.0</c:formatCode>
                <c:ptCount val="2"/>
                <c:pt idx="0">
                  <c:v>0</c:v>
                </c:pt>
                <c:pt idx="1">
                  <c:v>74.6308942714371</c:v>
                </c:pt>
              </c:numCache>
            </c:numRef>
          </c:yVal>
          <c:smooth val="1"/>
        </c:ser>
        <c:ser>
          <c:idx val="4"/>
          <c:order val="2"/>
          <c:tx>
            <c:v>X Isocost</c:v>
          </c:tx>
          <c:spPr>
            <a:ln w="12700">
              <a:solidFill>
                <a:srgbClr val="0000FF"/>
              </a:solidFill>
              <a:prstDash val="solid"/>
            </a:ln>
          </c:spPr>
          <c:marker>
            <c:symbol val="none"/>
          </c:marker>
          <c:xVal>
            <c:numRef>
              <c:f>Model!$BW$5:$BW$6</c:f>
              <c:numCache>
                <c:formatCode>0.0</c:formatCode>
                <c:ptCount val="2"/>
                <c:pt idx="0">
                  <c:v>75.532155098746657</c:v>
                </c:pt>
                <c:pt idx="1">
                  <c:v>0</c:v>
                </c:pt>
              </c:numCache>
            </c:numRef>
          </c:xVal>
          <c:yVal>
            <c:numRef>
              <c:f>Model!$BX$5:$BX$6</c:f>
              <c:numCache>
                <c:formatCode>0.0</c:formatCode>
                <c:ptCount val="2"/>
                <c:pt idx="0">
                  <c:v>0</c:v>
                </c:pt>
                <c:pt idx="1">
                  <c:v>87.801052084043619</c:v>
                </c:pt>
              </c:numCache>
            </c:numRef>
          </c:yVal>
          <c:smooth val="1"/>
        </c:ser>
        <c:ser>
          <c:idx val="7"/>
          <c:order val="3"/>
          <c:tx>
            <c:v>Y Isoquant</c:v>
          </c:tx>
          <c:spPr>
            <a:ln w="12700">
              <a:solidFill>
                <a:srgbClr val="FF00FF"/>
              </a:solidFill>
              <a:prstDash val="solid"/>
            </a:ln>
          </c:spPr>
          <c:marker>
            <c:symbol val="none"/>
          </c:marker>
          <c:xVal>
            <c:numRef>
              <c:f>Model!$BT$5:$BT$40</c:f>
              <c:numCache>
                <c:formatCode>0.0</c:formatCode>
                <c:ptCount val="36"/>
                <c:pt idx="0">
                  <c:v>202.5</c:v>
                </c:pt>
                <c:pt idx="1">
                  <c:v>160.49294434435078</c:v>
                </c:pt>
                <c:pt idx="2">
                  <c:v>145.66367502025693</c:v>
                </c:pt>
                <c:pt idx="3">
                  <c:v>136.87736584044083</c:v>
                </c:pt>
                <c:pt idx="4">
                  <c:v>130.73584915827462</c:v>
                </c:pt>
                <c:pt idx="5">
                  <c:v>126.06312023086544</c:v>
                </c:pt>
                <c:pt idx="6">
                  <c:v>122.31807294287009</c:v>
                </c:pt>
                <c:pt idx="7">
                  <c:v>119.20876886717251</c:v>
                </c:pt>
                <c:pt idx="8">
                  <c:v>116.56054095940753</c:v>
                </c:pt>
                <c:pt idx="9">
                  <c:v>114.26096263755619</c:v>
                </c:pt>
                <c:pt idx="10">
                  <c:v>112.233610363822</c:v>
                </c:pt>
                <c:pt idx="11">
                  <c:v>110.42428502429584</c:v>
                </c:pt>
                <c:pt idx="12">
                  <c:v>108.79322328483812</c:v>
                </c:pt>
                <c:pt idx="13">
                  <c:v>107.31043142425007</c:v>
                </c:pt>
                <c:pt idx="14">
                  <c:v>105.95275489466624</c:v>
                </c:pt>
                <c:pt idx="15">
                  <c:v>104.70196465232543</c:v>
                </c:pt>
                <c:pt idx="16">
                  <c:v>103.54346565638491</c:v>
                </c:pt>
                <c:pt idx="17">
                  <c:v>102.46540039057901</c:v>
                </c:pt>
                <c:pt idx="18">
                  <c:v>101.45801125816045</c:v>
                </c:pt>
                <c:pt idx="19">
                  <c:v>100.51317735173953</c:v>
                </c:pt>
                <c:pt idx="20">
                  <c:v>99.624071542748339</c:v>
                </c:pt>
                <c:pt idx="21">
                  <c:v>98.784902377501822</c:v>
                </c:pt>
                <c:pt idx="22">
                  <c:v>97.990716891957788</c:v>
                </c:pt>
                <c:pt idx="23">
                  <c:v>97.237247935279427</c:v>
                </c:pt>
                <c:pt idx="24">
                  <c:v>96.520794514328287</c:v>
                </c:pt>
                <c:pt idx="25">
                  <c:v>95.838126978503638</c:v>
                </c:pt>
                <c:pt idx="26">
                  <c:v>95.186411128544037</c:v>
                </c:pt>
                <c:pt idx="27">
                  <c:v>94.563146909550724</c:v>
                </c:pt>
                <c:pt idx="28">
                  <c:v>93.966118463535366</c:v>
                </c:pt>
                <c:pt idx="29">
                  <c:v>93.393353116676906</c:v>
                </c:pt>
                <c:pt idx="30">
                  <c:v>92.843087457828702</c:v>
                </c:pt>
                <c:pt idx="31">
                  <c:v>92.313739092499844</c:v>
                </c:pt>
                <c:pt idx="32">
                  <c:v>91.803882974694204</c:v>
                </c:pt>
                <c:pt idx="33">
                  <c:v>91.312231458162174</c:v>
                </c:pt>
                <c:pt idx="34">
                  <c:v>90.837617390160361</c:v>
                </c:pt>
                <c:pt idx="35">
                  <c:v>90.378979709858825</c:v>
                </c:pt>
              </c:numCache>
            </c:numRef>
          </c:xVal>
          <c:yVal>
            <c:numRef>
              <c:f>Model!$BU$5:$BU$40</c:f>
              <c:numCache>
                <c:formatCode>0.0</c:formatCode>
                <c:ptCount val="36"/>
                <c:pt idx="0">
                  <c:v>1.5514277802497478</c:v>
                </c:pt>
                <c:pt idx="1">
                  <c:v>5.7928155579568976</c:v>
                </c:pt>
                <c:pt idx="2">
                  <c:v>10.034203335664047</c:v>
                </c:pt>
                <c:pt idx="3">
                  <c:v>14.275591113371197</c:v>
                </c:pt>
                <c:pt idx="4">
                  <c:v>18.516978891078345</c:v>
                </c:pt>
                <c:pt idx="5">
                  <c:v>22.758366668785495</c:v>
                </c:pt>
                <c:pt idx="6">
                  <c:v>26.999754446492645</c:v>
                </c:pt>
                <c:pt idx="7">
                  <c:v>31.241142224199795</c:v>
                </c:pt>
                <c:pt idx="8">
                  <c:v>35.482530001906945</c:v>
                </c:pt>
                <c:pt idx="9">
                  <c:v>39.723917779614098</c:v>
                </c:pt>
                <c:pt idx="10">
                  <c:v>43.965305557321244</c:v>
                </c:pt>
                <c:pt idx="11">
                  <c:v>48.20669333502839</c:v>
                </c:pt>
                <c:pt idx="12">
                  <c:v>52.448081112735537</c:v>
                </c:pt>
                <c:pt idx="13">
                  <c:v>56.689468890442683</c:v>
                </c:pt>
                <c:pt idx="14">
                  <c:v>60.930856668149829</c:v>
                </c:pt>
                <c:pt idx="15">
                  <c:v>65.172244445856975</c:v>
                </c:pt>
                <c:pt idx="16">
                  <c:v>69.413632223564122</c:v>
                </c:pt>
                <c:pt idx="17">
                  <c:v>73.655020001271268</c:v>
                </c:pt>
                <c:pt idx="18">
                  <c:v>77.896407778978414</c:v>
                </c:pt>
                <c:pt idx="19">
                  <c:v>82.13779555668556</c:v>
                </c:pt>
                <c:pt idx="20">
                  <c:v>86.379183334392707</c:v>
                </c:pt>
                <c:pt idx="21">
                  <c:v>90.620571112099853</c:v>
                </c:pt>
                <c:pt idx="22">
                  <c:v>94.861958889806999</c:v>
                </c:pt>
                <c:pt idx="23">
                  <c:v>99.103346667514145</c:v>
                </c:pt>
                <c:pt idx="24">
                  <c:v>103.34473444522129</c:v>
                </c:pt>
                <c:pt idx="25">
                  <c:v>107.58612222292844</c:v>
                </c:pt>
                <c:pt idx="26">
                  <c:v>111.82751000063558</c:v>
                </c:pt>
                <c:pt idx="27">
                  <c:v>116.06889777834273</c:v>
                </c:pt>
                <c:pt idx="28">
                  <c:v>120.31028555604988</c:v>
                </c:pt>
                <c:pt idx="29">
                  <c:v>124.55167333375702</c:v>
                </c:pt>
                <c:pt idx="30">
                  <c:v>128.79306111146417</c:v>
                </c:pt>
                <c:pt idx="31">
                  <c:v>133.03444888917133</c:v>
                </c:pt>
                <c:pt idx="32">
                  <c:v>137.27583666687849</c:v>
                </c:pt>
                <c:pt idx="33">
                  <c:v>141.51722444458565</c:v>
                </c:pt>
                <c:pt idx="34">
                  <c:v>145.75861222229281</c:v>
                </c:pt>
                <c:pt idx="35">
                  <c:v>150</c:v>
                </c:pt>
              </c:numCache>
            </c:numRef>
          </c:yVal>
          <c:smooth val="1"/>
        </c:ser>
        <c:ser>
          <c:idx val="2"/>
          <c:order val="4"/>
          <c:tx>
            <c:v>Y Factor Intensity</c:v>
          </c:tx>
          <c:spPr>
            <a:ln w="12700">
              <a:solidFill>
                <a:srgbClr val="800000"/>
              </a:solidFill>
              <a:prstDash val="solid"/>
            </a:ln>
          </c:spPr>
          <c:marker>
            <c:symbol val="none"/>
          </c:marker>
          <c:dPt>
            <c:idx val="1"/>
            <c:marker>
              <c:symbol val="circle"/>
              <c:size val="5"/>
              <c:spPr>
                <a:solidFill>
                  <a:sysClr val="windowText" lastClr="000000"/>
                </a:solidFill>
                <a:ln>
                  <a:noFill/>
                </a:ln>
              </c:spPr>
            </c:marker>
          </c:dPt>
          <c:xVal>
            <c:numRef>
              <c:f>Model!$CF$5:$CF$6</c:f>
              <c:numCache>
                <c:formatCode>0.0</c:formatCode>
                <c:ptCount val="2"/>
                <c:pt idx="0">
                  <c:v>0</c:v>
                </c:pt>
                <c:pt idx="1">
                  <c:v>123.67017673518797</c:v>
                </c:pt>
              </c:numCache>
            </c:numRef>
          </c:xVal>
          <c:yVal>
            <c:numRef>
              <c:f>Model!$CG$5:$CG$6</c:f>
              <c:numCache>
                <c:formatCode>0.0</c:formatCode>
                <c:ptCount val="2"/>
                <c:pt idx="0">
                  <c:v>0</c:v>
                </c:pt>
                <c:pt idx="1">
                  <c:v>25.369105728562896</c:v>
                </c:pt>
              </c:numCache>
            </c:numRef>
          </c:yVal>
          <c:smooth val="1"/>
        </c:ser>
        <c:ser>
          <c:idx val="5"/>
          <c:order val="5"/>
          <c:tx>
            <c:v>Y Isocost</c:v>
          </c:tx>
          <c:spPr>
            <a:ln w="12700">
              <a:solidFill>
                <a:srgbClr val="FF0000"/>
              </a:solidFill>
              <a:prstDash val="solid"/>
            </a:ln>
          </c:spPr>
          <c:marker>
            <c:symbol val="none"/>
          </c:marker>
          <c:xVal>
            <c:numRef>
              <c:f>Model!$BZ$5:$BZ$6</c:f>
              <c:numCache>
                <c:formatCode>0.0</c:formatCode>
                <c:ptCount val="2"/>
                <c:pt idx="0">
                  <c:v>145.49432557080917</c:v>
                </c:pt>
                <c:pt idx="1">
                  <c:v>0</c:v>
                </c:pt>
              </c:numCache>
            </c:numRef>
          </c:xVal>
          <c:yVal>
            <c:numRef>
              <c:f>Model!$CA$5:$CA$6</c:f>
              <c:numCache>
                <c:formatCode>0.0</c:formatCode>
                <c:ptCount val="2"/>
                <c:pt idx="0">
                  <c:v>0</c:v>
                </c:pt>
                <c:pt idx="1">
                  <c:v>169.1273715237524</c:v>
                </c:pt>
              </c:numCache>
            </c:numRef>
          </c:yVal>
          <c:smooth val="1"/>
        </c:ser>
        <c:ser>
          <c:idx val="3"/>
          <c:order val="6"/>
          <c:tx>
            <c:v>Endowment Ray</c:v>
          </c:tx>
          <c:spPr>
            <a:ln w="12700">
              <a:solidFill>
                <a:srgbClr val="000000"/>
              </a:solidFill>
              <a:prstDash val="solid"/>
            </a:ln>
          </c:spPr>
          <c:marker>
            <c:symbol val="none"/>
          </c:marker>
          <c:dPt>
            <c:idx val="1"/>
            <c:marker>
              <c:symbol val="circle"/>
              <c:size val="5"/>
              <c:spPr>
                <a:solidFill>
                  <a:sysClr val="windowText" lastClr="000000"/>
                </a:solidFill>
                <a:ln>
                  <a:noFill/>
                </a:ln>
              </c:spPr>
            </c:marker>
          </c:dPt>
          <c:xVal>
            <c:numRef>
              <c:f>Model!$CI$5:$CI$6</c:f>
              <c:numCache>
                <c:formatCode>0.0</c:formatCode>
                <c:ptCount val="2"/>
                <c:pt idx="0">
                  <c:v>0</c:v>
                </c:pt>
                <c:pt idx="1">
                  <c:v>135</c:v>
                </c:pt>
              </c:numCache>
            </c:numRef>
          </c:xVal>
          <c:yVal>
            <c:numRef>
              <c:f>Model!$CJ$5:$CJ$6</c:f>
              <c:numCache>
                <c:formatCode>0.0</c:formatCode>
                <c:ptCount val="2"/>
                <c:pt idx="0">
                  <c:v>0</c:v>
                </c:pt>
                <c:pt idx="1">
                  <c:v>100</c:v>
                </c:pt>
              </c:numCache>
            </c:numRef>
          </c:yVal>
          <c:smooth val="1"/>
        </c:ser>
        <c:axId val="161191040"/>
        <c:axId val="161192960"/>
      </c:scatterChart>
      <c:valAx>
        <c:axId val="161191040"/>
        <c:scaling>
          <c:orientation val="minMax"/>
          <c:max val="150"/>
          <c:min val="0"/>
        </c:scaling>
        <c:axPos val="b"/>
        <c:title>
          <c:tx>
            <c:rich>
              <a:bodyPr/>
              <a:lstStyle/>
              <a:p>
                <a:pPr>
                  <a:defRPr sz="975" b="1" i="0" u="none" strike="noStrike" baseline="0">
                    <a:solidFill>
                      <a:srgbClr val="000000"/>
                    </a:solidFill>
                    <a:latin typeface="Arial"/>
                    <a:ea typeface="Arial"/>
                    <a:cs typeface="Arial"/>
                  </a:defRPr>
                </a:pPr>
                <a:r>
                  <a:rPr lang="en-US"/>
                  <a:t>Labor</a:t>
                </a:r>
              </a:p>
            </c:rich>
          </c:tx>
          <c:layout>
            <c:manualLayout>
              <c:xMode val="edge"/>
              <c:yMode val="edge"/>
              <c:x val="0.48602249072314241"/>
              <c:y val="0.94327739575539471"/>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61192960"/>
        <c:crosses val="autoZero"/>
        <c:crossBetween val="midCat"/>
        <c:majorUnit val="25"/>
      </c:valAx>
      <c:valAx>
        <c:axId val="161192960"/>
        <c:scaling>
          <c:orientation val="minMax"/>
          <c:max val="150"/>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Capital</a:t>
                </a:r>
              </a:p>
            </c:rich>
          </c:tx>
          <c:layout>
            <c:manualLayout>
              <c:xMode val="edge"/>
              <c:yMode val="edge"/>
              <c:x val="1.0752556792469909E-2"/>
              <c:y val="0.47689077326872614"/>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61191040"/>
        <c:crosses val="autoZero"/>
        <c:crossBetween val="midCat"/>
        <c:majorUnit val="25"/>
      </c:valAx>
      <c:spPr>
        <a:solidFill>
          <a:srgbClr val="FFFFFF"/>
        </a:solidFill>
        <a:ln w="25400">
          <a:noFill/>
        </a:ln>
      </c:spPr>
    </c:plotArea>
    <c:legend>
      <c:legendPos val="r"/>
      <c:layout>
        <c:manualLayout>
          <c:xMode val="edge"/>
          <c:yMode val="edge"/>
          <c:x val="4.5258620689655166E-2"/>
          <c:y val="1.5837104072398189E-2"/>
          <c:w val="0.91379310344827602"/>
          <c:h val="0.10859752259474351"/>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827981829598939"/>
          <c:y val="0.14705882352941191"/>
          <c:w val="0.8258081859210894"/>
          <c:h val="0.71218487394958219"/>
        </c:manualLayout>
      </c:layout>
      <c:scatterChart>
        <c:scatterStyle val="smoothMarker"/>
        <c:ser>
          <c:idx val="1"/>
          <c:order val="0"/>
          <c:tx>
            <c:v>Demand for Y</c:v>
          </c:tx>
          <c:spPr>
            <a:ln w="12700">
              <a:solidFill>
                <a:srgbClr val="FF0000"/>
              </a:solidFill>
            </a:ln>
          </c:spPr>
          <c:marker>
            <c:symbol val="none"/>
          </c:marker>
          <c:xVal>
            <c:numRef>
              <c:f>Model!$BH$61:$BH$96</c:f>
              <c:numCache>
                <c:formatCode>General</c:formatCode>
                <c:ptCount val="36"/>
                <c:pt idx="0">
                  <c:v>23.00653716730951</c:v>
                </c:pt>
                <c:pt idx="1">
                  <c:v>29.804109635897234</c:v>
                </c:pt>
                <c:pt idx="2">
                  <c:v>36.601682104484944</c:v>
                </c:pt>
                <c:pt idx="3">
                  <c:v>43.399254573072668</c:v>
                </c:pt>
                <c:pt idx="4">
                  <c:v>50.196827041660391</c:v>
                </c:pt>
                <c:pt idx="5">
                  <c:v>56.994399510248115</c:v>
                </c:pt>
                <c:pt idx="6">
                  <c:v>63.791971978835825</c:v>
                </c:pt>
                <c:pt idx="7">
                  <c:v>70.589544447423549</c:v>
                </c:pt>
                <c:pt idx="8">
                  <c:v>77.387116916011266</c:v>
                </c:pt>
                <c:pt idx="9">
                  <c:v>84.184689384598983</c:v>
                </c:pt>
                <c:pt idx="10">
                  <c:v>90.982261853186685</c:v>
                </c:pt>
                <c:pt idx="11">
                  <c:v>97.779834321774402</c:v>
                </c:pt>
                <c:pt idx="12">
                  <c:v>104.57740679036212</c:v>
                </c:pt>
                <c:pt idx="13">
                  <c:v>111.37497925894982</c:v>
                </c:pt>
                <c:pt idx="14">
                  <c:v>118.17255172753755</c:v>
                </c:pt>
                <c:pt idx="15">
                  <c:v>124.97012419612527</c:v>
                </c:pt>
                <c:pt idx="16">
                  <c:v>131.76769666471299</c:v>
                </c:pt>
                <c:pt idx="17">
                  <c:v>138.56526913330072</c:v>
                </c:pt>
                <c:pt idx="18">
                  <c:v>145.36284160188845</c:v>
                </c:pt>
                <c:pt idx="19">
                  <c:v>152.16041407047621</c:v>
                </c:pt>
                <c:pt idx="20">
                  <c:v>158.95798653906391</c:v>
                </c:pt>
                <c:pt idx="21">
                  <c:v>165.75555900765164</c:v>
                </c:pt>
                <c:pt idx="22">
                  <c:v>172.55313147623934</c:v>
                </c:pt>
                <c:pt idx="23">
                  <c:v>179.3507039448271</c:v>
                </c:pt>
                <c:pt idx="24">
                  <c:v>186.14827641341481</c:v>
                </c:pt>
                <c:pt idx="25">
                  <c:v>192.94584888200254</c:v>
                </c:pt>
                <c:pt idx="26">
                  <c:v>199.7434213505903</c:v>
                </c:pt>
                <c:pt idx="27">
                  <c:v>206.54099381917803</c:v>
                </c:pt>
                <c:pt idx="28">
                  <c:v>213.33856628776573</c:v>
                </c:pt>
                <c:pt idx="29">
                  <c:v>220.13613875635346</c:v>
                </c:pt>
                <c:pt idx="30">
                  <c:v>226.93371122494119</c:v>
                </c:pt>
                <c:pt idx="31">
                  <c:v>233.73128369352895</c:v>
                </c:pt>
                <c:pt idx="32">
                  <c:v>240.52885616211665</c:v>
                </c:pt>
                <c:pt idx="33">
                  <c:v>247.32642863070436</c:v>
                </c:pt>
                <c:pt idx="34">
                  <c:v>254.12400109929206</c:v>
                </c:pt>
                <c:pt idx="35">
                  <c:v>260.92157356787976</c:v>
                </c:pt>
              </c:numCache>
            </c:numRef>
          </c:xVal>
          <c:yVal>
            <c:numRef>
              <c:f>Model!$BE$61:$BE$96</c:f>
              <c:numCache>
                <c:formatCode>General</c:formatCode>
                <c:ptCount val="36"/>
                <c:pt idx="0">
                  <c:v>2.4566214419757966</c:v>
                </c:pt>
                <c:pt idx="1">
                  <c:v>1.8963274931304352</c:v>
                </c:pt>
                <c:pt idx="2">
                  <c:v>1.5441463140815661</c:v>
                </c:pt>
                <c:pt idx="3">
                  <c:v>1.3022885546493419</c:v>
                </c:pt>
                <c:pt idx="4">
                  <c:v>1.1259347620501743</c:v>
                </c:pt>
                <c:pt idx="5">
                  <c:v>0.99164747758528682</c:v>
                </c:pt>
                <c:pt idx="6">
                  <c:v>0.88597907789363628</c:v>
                </c:pt>
                <c:pt idx="7">
                  <c:v>0.80066181122505486</c:v>
                </c:pt>
                <c:pt idx="8">
                  <c:v>0.7303328352723798</c:v>
                </c:pt>
                <c:pt idx="9">
                  <c:v>0.67136141885160061</c:v>
                </c:pt>
                <c:pt idx="10">
                  <c:v>0.62120188440716451</c:v>
                </c:pt>
                <c:pt idx="11">
                  <c:v>0.57801644789900908</c:v>
                </c:pt>
                <c:pt idx="12">
                  <c:v>0.54044515202144405</c:v>
                </c:pt>
                <c:pt idx="13">
                  <c:v>0.50746004970666669</c:v>
                </c:pt>
                <c:pt idx="14">
                  <c:v>0.47826971394453921</c:v>
                </c:pt>
                <c:pt idx="15">
                  <c:v>0.45225491191900419</c:v>
                </c:pt>
                <c:pt idx="16">
                  <c:v>0.42892418962622042</c:v>
                </c:pt>
                <c:pt idx="17">
                  <c:v>0.40788252975898753</c:v>
                </c:pt>
                <c:pt idx="18">
                  <c:v>0.38880880346034324</c:v>
                </c:pt>
                <c:pt idx="19">
                  <c:v>0.37143926596209198</c:v>
                </c:pt>
                <c:pt idx="20">
                  <c:v>0.35555528691184241</c:v>
                </c:pt>
                <c:pt idx="21">
                  <c:v>0.34097409974778969</c:v>
                </c:pt>
                <c:pt idx="22">
                  <c:v>0.32754173759291211</c:v>
                </c:pt>
                <c:pt idx="23">
                  <c:v>0.3151275755695509</c:v>
                </c:pt>
                <c:pt idx="24">
                  <c:v>0.30362006890305349</c:v>
                </c:pt>
                <c:pt idx="25">
                  <c:v>0.29292339191702366</c:v>
                </c:pt>
                <c:pt idx="26">
                  <c:v>0.28295476330919783</c:v>
                </c:pt>
                <c:pt idx="27">
                  <c:v>0.27364229960230652</c:v>
                </c:pt>
                <c:pt idx="28">
                  <c:v>0.26492327896583784</c:v>
                </c:pt>
                <c:pt idx="29">
                  <c:v>0.2567427267059505</c:v>
                </c:pt>
                <c:pt idx="30">
                  <c:v>0.24905225497680042</c:v>
                </c:pt>
                <c:pt idx="31">
                  <c:v>0.24180910495889435</c:v>
                </c:pt>
                <c:pt idx="32">
                  <c:v>0.23497535145110504</c:v>
                </c:pt>
                <c:pt idx="33">
                  <c:v>0.22851723862966569</c:v>
                </c:pt>
                <c:pt idx="34">
                  <c:v>0.22240462241401054</c:v>
                </c:pt>
                <c:pt idx="35">
                  <c:v>0.21661049999808538</c:v>
                </c:pt>
              </c:numCache>
            </c:numRef>
          </c:yVal>
          <c:smooth val="1"/>
        </c:ser>
        <c:ser>
          <c:idx val="2"/>
          <c:order val="1"/>
          <c:tx>
            <c:v>Supply of Y</c:v>
          </c:tx>
          <c:spPr>
            <a:ln w="12700">
              <a:solidFill>
                <a:srgbClr val="FF0000"/>
              </a:solidFill>
            </a:ln>
          </c:spPr>
          <c:marker>
            <c:symbol val="none"/>
          </c:marker>
          <c:xVal>
            <c:numRef>
              <c:f>Model!$BG$61:$BG$96</c:f>
              <c:numCache>
                <c:formatCode>0.0</c:formatCode>
                <c:ptCount val="36"/>
                <c:pt idx="0">
                  <c:v>196.95360184664824</c:v>
                </c:pt>
                <c:pt idx="1">
                  <c:v>183.64588489965331</c:v>
                </c:pt>
                <c:pt idx="2">
                  <c:v>172.90665645624259</c:v>
                </c:pt>
                <c:pt idx="3">
                  <c:v>163.75347025496029</c:v>
                </c:pt>
                <c:pt idx="4">
                  <c:v>155.66213061508674</c:v>
                </c:pt>
                <c:pt idx="5">
                  <c:v>148.32243697673326</c:v>
                </c:pt>
                <c:pt idx="6">
                  <c:v>141.53689695674765</c:v>
                </c:pt>
                <c:pt idx="7">
                  <c:v>135.17272534495061</c:v>
                </c:pt>
                <c:pt idx="8">
                  <c:v>129.1367846400104</c:v>
                </c:pt>
                <c:pt idx="9">
                  <c:v>123.36150146954115</c:v>
                </c:pt>
                <c:pt idx="10">
                  <c:v>117.79647708729522</c:v>
                </c:pt>
                <c:pt idx="11">
                  <c:v>112.40324817927458</c:v>
                </c:pt>
                <c:pt idx="12">
                  <c:v>107.15188452509608</c:v>
                </c:pt>
                <c:pt idx="13">
                  <c:v>102.01870549823109</c:v>
                </c:pt>
                <c:pt idx="14">
                  <c:v>96.984703717477302</c:v>
                </c:pt>
                <c:pt idx="15">
                  <c:v>92.034430043131991</c:v>
                </c:pt>
                <c:pt idx="16">
                  <c:v>87.155187947676183</c:v>
                </c:pt>
                <c:pt idx="17">
                  <c:v>82.336440411382355</c:v>
                </c:pt>
                <c:pt idx="18">
                  <c:v>77.569365954245015</c:v>
                </c:pt>
                <c:pt idx="19">
                  <c:v>72.846521324995194</c:v>
                </c:pt>
                <c:pt idx="20">
                  <c:v>68.16158177424083</c:v>
                </c:pt>
                <c:pt idx="21">
                  <c:v>63.509138634207396</c:v>
                </c:pt>
                <c:pt idx="22">
                  <c:v>58.884539818513133</c:v>
                </c:pt>
                <c:pt idx="23">
                  <c:v>54.283762875512693</c:v>
                </c:pt>
                <c:pt idx="24">
                  <c:v>49.703313019174765</c:v>
                </c:pt>
                <c:pt idx="25">
                  <c:v>45.140140528661405</c:v>
                </c:pt>
                <c:pt idx="26">
                  <c:v>40.591573314496671</c:v>
                </c:pt>
                <c:pt idx="27">
                  <c:v>36.055261468401696</c:v>
                </c:pt>
                <c:pt idx="28">
                  <c:v>31.529131361279109</c:v>
                </c:pt>
                <c:pt idx="29">
                  <c:v>27.011347408103958</c:v>
                </c:pt>
                <c:pt idx="30">
                  <c:v>22.500280033821355</c:v>
                </c:pt>
                <c:pt idx="31">
                  <c:v>17.99447868862017</c:v>
                </c:pt>
                <c:pt idx="32">
                  <c:v>13.492649000916972</c:v>
                </c:pt>
                <c:pt idx="33">
                  <c:v>8.9936333411503337</c:v>
                </c:pt>
                <c:pt idx="34">
                  <c:v>4.4963942128999932</c:v>
                </c:pt>
                <c:pt idx="35">
                  <c:v>0</c:v>
                </c:pt>
              </c:numCache>
            </c:numRef>
          </c:xVal>
          <c:yVal>
            <c:numRef>
              <c:f>Model!$BE$61:$BE$96</c:f>
              <c:numCache>
                <c:formatCode>General</c:formatCode>
                <c:ptCount val="36"/>
                <c:pt idx="0">
                  <c:v>2.4566214419757966</c:v>
                </c:pt>
                <c:pt idx="1">
                  <c:v>1.8963274931304352</c:v>
                </c:pt>
                <c:pt idx="2">
                  <c:v>1.5441463140815661</c:v>
                </c:pt>
                <c:pt idx="3">
                  <c:v>1.3022885546493419</c:v>
                </c:pt>
                <c:pt idx="4">
                  <c:v>1.1259347620501743</c:v>
                </c:pt>
                <c:pt idx="5">
                  <c:v>0.99164747758528682</c:v>
                </c:pt>
                <c:pt idx="6">
                  <c:v>0.88597907789363628</c:v>
                </c:pt>
                <c:pt idx="7">
                  <c:v>0.80066181122505486</c:v>
                </c:pt>
                <c:pt idx="8">
                  <c:v>0.7303328352723798</c:v>
                </c:pt>
                <c:pt idx="9">
                  <c:v>0.67136141885160061</c:v>
                </c:pt>
                <c:pt idx="10">
                  <c:v>0.62120188440716451</c:v>
                </c:pt>
                <c:pt idx="11">
                  <c:v>0.57801644789900908</c:v>
                </c:pt>
                <c:pt idx="12">
                  <c:v>0.54044515202144405</c:v>
                </c:pt>
                <c:pt idx="13">
                  <c:v>0.50746004970666669</c:v>
                </c:pt>
                <c:pt idx="14">
                  <c:v>0.47826971394453921</c:v>
                </c:pt>
                <c:pt idx="15">
                  <c:v>0.45225491191900419</c:v>
                </c:pt>
                <c:pt idx="16">
                  <c:v>0.42892418962622042</c:v>
                </c:pt>
                <c:pt idx="17">
                  <c:v>0.40788252975898753</c:v>
                </c:pt>
                <c:pt idx="18">
                  <c:v>0.38880880346034324</c:v>
                </c:pt>
                <c:pt idx="19">
                  <c:v>0.37143926596209198</c:v>
                </c:pt>
                <c:pt idx="20">
                  <c:v>0.35555528691184241</c:v>
                </c:pt>
                <c:pt idx="21">
                  <c:v>0.34097409974778969</c:v>
                </c:pt>
                <c:pt idx="22">
                  <c:v>0.32754173759291211</c:v>
                </c:pt>
                <c:pt idx="23">
                  <c:v>0.3151275755695509</c:v>
                </c:pt>
                <c:pt idx="24">
                  <c:v>0.30362006890305349</c:v>
                </c:pt>
                <c:pt idx="25">
                  <c:v>0.29292339191702366</c:v>
                </c:pt>
                <c:pt idx="26">
                  <c:v>0.28295476330919783</c:v>
                </c:pt>
                <c:pt idx="27">
                  <c:v>0.27364229960230652</c:v>
                </c:pt>
                <c:pt idx="28">
                  <c:v>0.26492327896583784</c:v>
                </c:pt>
                <c:pt idx="29">
                  <c:v>0.2567427267059505</c:v>
                </c:pt>
                <c:pt idx="30">
                  <c:v>0.24905225497680042</c:v>
                </c:pt>
                <c:pt idx="31">
                  <c:v>0.24180910495889435</c:v>
                </c:pt>
                <c:pt idx="32">
                  <c:v>0.23497535145110504</c:v>
                </c:pt>
                <c:pt idx="33">
                  <c:v>0.22851723862966569</c:v>
                </c:pt>
                <c:pt idx="34">
                  <c:v>0.22240462241401054</c:v>
                </c:pt>
                <c:pt idx="35">
                  <c:v>0.21661049999808538</c:v>
                </c:pt>
              </c:numCache>
            </c:numRef>
          </c:yVal>
          <c:smooth val="1"/>
        </c:ser>
        <c:ser>
          <c:idx val="0"/>
          <c:order val="2"/>
          <c:tx>
            <c:v>Line 1</c:v>
          </c:tx>
          <c:spPr>
            <a:ln w="12700">
              <a:solidFill>
                <a:sysClr val="windowText" lastClr="000000"/>
              </a:solidFill>
              <a:prstDash val="dash"/>
            </a:ln>
          </c:spPr>
          <c:marker>
            <c:symbol val="none"/>
          </c:marker>
          <c:dPt>
            <c:idx val="1"/>
            <c:marker>
              <c:symbol val="circle"/>
              <c:size val="5"/>
              <c:spPr>
                <a:solidFill>
                  <a:sysClr val="windowText" lastClr="000000"/>
                </a:solidFill>
                <a:ln>
                  <a:noFill/>
                </a:ln>
              </c:spPr>
            </c:marker>
          </c:dPt>
          <c:xVal>
            <c:numRef>
              <c:f>Model!$BL$62:$BL$64</c:f>
              <c:numCache>
                <c:formatCode>0.00</c:formatCode>
                <c:ptCount val="3"/>
                <c:pt idx="0" formatCode="General">
                  <c:v>0</c:v>
                </c:pt>
                <c:pt idx="1">
                  <c:v>148.81655005365113</c:v>
                </c:pt>
                <c:pt idx="2">
                  <c:v>148.81655005365113</c:v>
                </c:pt>
              </c:numCache>
            </c:numRef>
          </c:xVal>
          <c:yVal>
            <c:numRef>
              <c:f>Model!$BK$62:$BK$64</c:f>
              <c:numCache>
                <c:formatCode>General</c:formatCode>
                <c:ptCount val="3"/>
                <c:pt idx="0">
                  <c:v>1</c:v>
                </c:pt>
                <c:pt idx="1">
                  <c:v>1</c:v>
                </c:pt>
                <c:pt idx="2">
                  <c:v>0</c:v>
                </c:pt>
              </c:numCache>
            </c:numRef>
          </c:yVal>
        </c:ser>
        <c:ser>
          <c:idx val="3"/>
          <c:order val="3"/>
          <c:tx>
            <c:v>Line 2</c:v>
          </c:tx>
          <c:spPr>
            <a:ln w="12700">
              <a:solidFill>
                <a:sysClr val="windowText" lastClr="000000"/>
              </a:solidFill>
              <a:prstDash val="dash"/>
            </a:ln>
          </c:spPr>
          <c:marker>
            <c:symbol val="none"/>
          </c:marker>
          <c:dPt>
            <c:idx val="1"/>
            <c:marker>
              <c:symbol val="circle"/>
              <c:size val="5"/>
              <c:spPr>
                <a:solidFill>
                  <a:sysClr val="windowText" lastClr="000000"/>
                </a:solidFill>
                <a:ln>
                  <a:noFill/>
                </a:ln>
              </c:spPr>
            </c:marker>
          </c:dPt>
          <c:xVal>
            <c:numRef>
              <c:f>Model!$BL$66:$BL$68</c:f>
              <c:numCache>
                <c:formatCode>0.00</c:formatCode>
                <c:ptCount val="3"/>
                <c:pt idx="0" formatCode="General">
                  <c:v>0</c:v>
                </c:pt>
                <c:pt idx="1">
                  <c:v>56.51835251082565</c:v>
                </c:pt>
                <c:pt idx="2">
                  <c:v>56.51835251082565</c:v>
                </c:pt>
              </c:numCache>
            </c:numRef>
          </c:xVal>
          <c:yVal>
            <c:numRef>
              <c:f>Model!$BK$66:$BK$68</c:f>
              <c:numCache>
                <c:formatCode>General</c:formatCode>
                <c:ptCount val="3"/>
                <c:pt idx="0">
                  <c:v>1</c:v>
                </c:pt>
                <c:pt idx="1">
                  <c:v>1</c:v>
                </c:pt>
                <c:pt idx="2">
                  <c:v>0</c:v>
                </c:pt>
              </c:numCache>
            </c:numRef>
          </c:yVal>
        </c:ser>
        <c:axId val="50495488"/>
        <c:axId val="50497408"/>
      </c:scatterChart>
      <c:valAx>
        <c:axId val="50495488"/>
        <c:scaling>
          <c:orientation val="minMax"/>
          <c:max val="200"/>
          <c:min val="0"/>
        </c:scaling>
        <c:axPos val="b"/>
        <c:title>
          <c:tx>
            <c:rich>
              <a:bodyPr/>
              <a:lstStyle/>
              <a:p>
                <a:pPr>
                  <a:defRPr sz="1000" b="1" i="0" u="none" strike="noStrike" baseline="0">
                    <a:solidFill>
                      <a:srgbClr val="000000"/>
                    </a:solidFill>
                    <a:latin typeface="Arial"/>
                    <a:ea typeface="Arial"/>
                    <a:cs typeface="Arial"/>
                  </a:defRPr>
                </a:pPr>
                <a:r>
                  <a:rPr lang="en-US"/>
                  <a:t>Quantity of Y</a:t>
                </a:r>
              </a:p>
            </c:rich>
          </c:tx>
          <c:spPr>
            <a:noFill/>
            <a:ln w="25400">
              <a:noFill/>
            </a:ln>
          </c:spPr>
        </c:title>
        <c:numFmt formatCode="0.0" sourceLinked="0"/>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0497408"/>
        <c:crosses val="autoZero"/>
        <c:crossBetween val="midCat"/>
      </c:valAx>
      <c:valAx>
        <c:axId val="50497408"/>
        <c:scaling>
          <c:orientation val="minMax"/>
          <c:max val="3"/>
          <c:min val="0"/>
        </c:scaling>
        <c:axPos val="l"/>
        <c:majorGridlines>
          <c:spPr>
            <a:ln w="3175">
              <a:solidFill>
                <a:srgbClr val="FFFFFF"/>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Price  of Y</a:t>
                </a:r>
              </a:p>
            </c:rich>
          </c:tx>
          <c:spPr>
            <a:noFill/>
            <a:ln w="25400">
              <a:noFill/>
            </a:ln>
          </c:spPr>
        </c:title>
        <c:numFmt formatCode="#,##0.0" sourceLinked="0"/>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0495488"/>
        <c:crosses val="autoZero"/>
        <c:crossBetween val="midCat"/>
      </c:valAx>
      <c:spPr>
        <a:solidFill>
          <a:srgbClr val="FFFFFF"/>
        </a:solidFill>
        <a:ln w="25400">
          <a:noFill/>
        </a:ln>
      </c:spPr>
    </c:plotArea>
    <c:legend>
      <c:legendPos val="r"/>
      <c:legendEntry>
        <c:idx val="2"/>
        <c:delete val="1"/>
      </c:legendEntry>
      <c:legendEntry>
        <c:idx val="3"/>
        <c:delete val="1"/>
      </c:legendEntry>
      <c:layout>
        <c:manualLayout>
          <c:xMode val="edge"/>
          <c:yMode val="edge"/>
          <c:x val="0.20786929471075219"/>
          <c:y val="3.5037369207772805E-2"/>
          <c:w val="0.67077621721267722"/>
          <c:h val="5.2581005849605122E-2"/>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155" r="0.7500000000000015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827981829598939"/>
          <c:y val="0.14705882352941191"/>
          <c:w val="0.8258081859210894"/>
          <c:h val="0.71218487394958185"/>
        </c:manualLayout>
      </c:layout>
      <c:scatterChart>
        <c:scatterStyle val="smoothMarker"/>
        <c:ser>
          <c:idx val="0"/>
          <c:order val="0"/>
          <c:tx>
            <c:v>Capital Supply</c:v>
          </c:tx>
          <c:spPr>
            <a:ln w="12700">
              <a:solidFill>
                <a:schemeClr val="tx1"/>
              </a:solidFill>
            </a:ln>
          </c:spPr>
          <c:marker>
            <c:symbol val="none"/>
          </c:marker>
          <c:xVal>
            <c:numRef>
              <c:f>Model!$AN$61:$AN$62</c:f>
              <c:numCache>
                <c:formatCode>0.00</c:formatCode>
                <c:ptCount val="2"/>
                <c:pt idx="0">
                  <c:v>100</c:v>
                </c:pt>
                <c:pt idx="1">
                  <c:v>100</c:v>
                </c:pt>
              </c:numCache>
            </c:numRef>
          </c:xVal>
          <c:yVal>
            <c:numRef>
              <c:f>Model!$AM$61:$AM$62</c:f>
              <c:numCache>
                <c:formatCode>General</c:formatCode>
                <c:ptCount val="2"/>
                <c:pt idx="0">
                  <c:v>0</c:v>
                </c:pt>
                <c:pt idx="1">
                  <c:v>2.6397244049775441</c:v>
                </c:pt>
              </c:numCache>
            </c:numRef>
          </c:yVal>
          <c:smooth val="1"/>
        </c:ser>
        <c:ser>
          <c:idx val="1"/>
          <c:order val="1"/>
          <c:tx>
            <c:v>Capital Demand</c:v>
          </c:tx>
          <c:spPr>
            <a:ln w="12700"/>
          </c:spPr>
          <c:marker>
            <c:symbol val="none"/>
          </c:marker>
          <c:xVal>
            <c:numRef>
              <c:f>Model!$AQ$61:$AQ$96</c:f>
              <c:numCache>
                <c:formatCode>0.00</c:formatCode>
                <c:ptCount val="36"/>
                <c:pt idx="0">
                  <c:v>264.50825124930134</c:v>
                </c:pt>
                <c:pt idx="1">
                  <c:v>189.89010337954034</c:v>
                </c:pt>
                <c:pt idx="2">
                  <c:v>158.44951811534884</c:v>
                </c:pt>
                <c:pt idx="3">
                  <c:v>140.48598841305966</c:v>
                </c:pt>
                <c:pt idx="4">
                  <c:v>128.617325679407</c:v>
                </c:pt>
                <c:pt idx="5">
                  <c:v>120.07217591410608</c:v>
                </c:pt>
                <c:pt idx="6">
                  <c:v>113.55990081148069</c:v>
                </c:pt>
                <c:pt idx="7">
                  <c:v>108.39212968329781</c:v>
                </c:pt>
                <c:pt idx="8">
                  <c:v>104.16551435317025</c:v>
                </c:pt>
                <c:pt idx="9">
                  <c:v>100.62675201804117</c:v>
                </c:pt>
                <c:pt idx="10">
                  <c:v>97.608056526603818</c:v>
                </c:pt>
                <c:pt idx="11">
                  <c:v>94.993480788746226</c:v>
                </c:pt>
                <c:pt idx="12">
                  <c:v>92.700091560149403</c:v>
                </c:pt>
                <c:pt idx="13">
                  <c:v>90.666848142775521</c:v>
                </c:pt>
                <c:pt idx="14">
                  <c:v>88.847725987222674</c:v>
                </c:pt>
                <c:pt idx="15">
                  <c:v>87.207299251786765</c:v>
                </c:pt>
                <c:pt idx="16">
                  <c:v>95.28729472049632</c:v>
                </c:pt>
                <c:pt idx="17">
                  <c:v>92.959129218750974</c:v>
                </c:pt>
                <c:pt idx="18">
                  <c:v>90.897499180386205</c:v>
                </c:pt>
                <c:pt idx="19">
                  <c:v>89.05485689475492</c:v>
                </c:pt>
                <c:pt idx="20">
                  <c:v>87.39468835553599</c:v>
                </c:pt>
                <c:pt idx="21">
                  <c:v>85.888439301258245</c:v>
                </c:pt>
                <c:pt idx="22">
                  <c:v>84.513423641298075</c:v>
                </c:pt>
                <c:pt idx="23">
                  <c:v>83.251364497491011</c:v>
                </c:pt>
                <c:pt idx="24">
                  <c:v>82.087354055207228</c:v>
                </c:pt>
                <c:pt idx="25">
                  <c:v>81.009097520435404</c:v>
                </c:pt>
                <c:pt idx="26">
                  <c:v>80.006354021519002</c:v>
                </c:pt>
                <c:pt idx="27">
                  <c:v>79.07051670189918</c:v>
                </c:pt>
                <c:pt idx="28">
                  <c:v>78.194292913404155</c:v>
                </c:pt>
                <c:pt idx="29">
                  <c:v>77.371457539824377</c:v>
                </c:pt>
                <c:pt idx="30">
                  <c:v>76.596660516889258</c:v>
                </c:pt>
                <c:pt idx="31">
                  <c:v>75.865275044780105</c:v>
                </c:pt>
                <c:pt idx="32">
                  <c:v>75.173276721894283</c:v>
                </c:pt>
                <c:pt idx="33">
                  <c:v>74.51714643504674</c:v>
                </c:pt>
                <c:pt idx="34">
                  <c:v>73.893791687920995</c:v>
                </c:pt>
                <c:pt idx="35">
                  <c:v>73.263545813254638</c:v>
                </c:pt>
              </c:numCache>
            </c:numRef>
          </c:xVal>
          <c:yVal>
            <c:numRef>
              <c:f>Model!$AP$61:$AP$96</c:f>
              <c:numCache>
                <c:formatCode>General</c:formatCode>
                <c:ptCount val="36"/>
                <c:pt idx="0">
                  <c:v>0.1</c:v>
                </c:pt>
                <c:pt idx="1">
                  <c:v>0.18481434701209612</c:v>
                </c:pt>
                <c:pt idx="2">
                  <c:v>0.26962869402419221</c:v>
                </c:pt>
                <c:pt idx="3">
                  <c:v>0.35444304103628832</c:v>
                </c:pt>
                <c:pt idx="4">
                  <c:v>0.43925738804838443</c:v>
                </c:pt>
                <c:pt idx="5">
                  <c:v>0.52407173506048055</c:v>
                </c:pt>
                <c:pt idx="6">
                  <c:v>0.60888608207257666</c:v>
                </c:pt>
                <c:pt idx="7">
                  <c:v>0.69370042908467278</c:v>
                </c:pt>
                <c:pt idx="8">
                  <c:v>0.77851477609676889</c:v>
                </c:pt>
                <c:pt idx="9">
                  <c:v>0.863329123108865</c:v>
                </c:pt>
                <c:pt idx="10">
                  <c:v>0.94814347012096112</c:v>
                </c:pt>
                <c:pt idx="11">
                  <c:v>1.0329578171330573</c:v>
                </c:pt>
                <c:pt idx="12">
                  <c:v>1.1177721641451535</c:v>
                </c:pt>
                <c:pt idx="13">
                  <c:v>1.2025865111572496</c:v>
                </c:pt>
                <c:pt idx="14">
                  <c:v>1.2874008581693457</c:v>
                </c:pt>
                <c:pt idx="15">
                  <c:v>1.3722152051814418</c:v>
                </c:pt>
                <c:pt idx="16">
                  <c:v>1.0228340484744547</c:v>
                </c:pt>
                <c:pt idx="17">
                  <c:v>1.1076483954865508</c:v>
                </c:pt>
                <c:pt idx="18">
                  <c:v>1.1924627424986469</c:v>
                </c:pt>
                <c:pt idx="19">
                  <c:v>1.277277089510743</c:v>
                </c:pt>
                <c:pt idx="20">
                  <c:v>1.3620914365228391</c:v>
                </c:pt>
                <c:pt idx="21">
                  <c:v>1.4469057835349353</c:v>
                </c:pt>
                <c:pt idx="22">
                  <c:v>1.5317201305470314</c:v>
                </c:pt>
                <c:pt idx="23">
                  <c:v>1.6165344775591275</c:v>
                </c:pt>
                <c:pt idx="24">
                  <c:v>1.7013488245712236</c:v>
                </c:pt>
                <c:pt idx="25">
                  <c:v>1.7861631715833197</c:v>
                </c:pt>
                <c:pt idx="26">
                  <c:v>1.8709775185954158</c:v>
                </c:pt>
                <c:pt idx="27">
                  <c:v>1.9557918656075119</c:v>
                </c:pt>
                <c:pt idx="28">
                  <c:v>2.0406062126196081</c:v>
                </c:pt>
                <c:pt idx="29">
                  <c:v>2.1254205596317042</c:v>
                </c:pt>
                <c:pt idx="30">
                  <c:v>2.2102349066438003</c:v>
                </c:pt>
                <c:pt idx="31">
                  <c:v>2.2950492536558964</c:v>
                </c:pt>
                <c:pt idx="32">
                  <c:v>2.3798636006679925</c:v>
                </c:pt>
                <c:pt idx="33">
                  <c:v>2.4646779476800886</c:v>
                </c:pt>
                <c:pt idx="34">
                  <c:v>2.5494922946921847</c:v>
                </c:pt>
                <c:pt idx="35">
                  <c:v>2.6397244049775441</c:v>
                </c:pt>
              </c:numCache>
            </c:numRef>
          </c:yVal>
          <c:smooth val="1"/>
        </c:ser>
        <c:ser>
          <c:idx val="2"/>
          <c:order val="2"/>
          <c:tx>
            <c:v>Line</c:v>
          </c:tx>
          <c:spPr>
            <a:ln w="12700">
              <a:solidFill>
                <a:sysClr val="windowText" lastClr="000000"/>
              </a:solidFill>
              <a:prstDash val="dash"/>
            </a:ln>
          </c:spPr>
          <c:marker>
            <c:symbol val="none"/>
          </c:marker>
          <c:dPt>
            <c:idx val="1"/>
            <c:marker>
              <c:symbol val="circle"/>
              <c:size val="5"/>
              <c:spPr>
                <a:solidFill>
                  <a:sysClr val="windowText" lastClr="000000"/>
                </a:solidFill>
                <a:ln>
                  <a:noFill/>
                </a:ln>
              </c:spPr>
            </c:marker>
          </c:dPt>
          <c:xVal>
            <c:numRef>
              <c:f>Model!$AN$67:$AN$68</c:f>
              <c:numCache>
                <c:formatCode>0.00</c:formatCode>
                <c:ptCount val="2"/>
                <c:pt idx="0" formatCode="General">
                  <c:v>0</c:v>
                </c:pt>
                <c:pt idx="1">
                  <c:v>100</c:v>
                </c:pt>
              </c:numCache>
            </c:numRef>
          </c:xVal>
          <c:yVal>
            <c:numRef>
              <c:f>Model!$AM$67:$AM$68</c:f>
              <c:numCache>
                <c:formatCode>0.00</c:formatCode>
                <c:ptCount val="2"/>
                <c:pt idx="0">
                  <c:v>0.87990813499251475</c:v>
                </c:pt>
                <c:pt idx="1">
                  <c:v>0.87990813499251475</c:v>
                </c:pt>
              </c:numCache>
            </c:numRef>
          </c:yVal>
          <c:smooth val="1"/>
        </c:ser>
        <c:axId val="81944960"/>
        <c:axId val="81946880"/>
      </c:scatterChart>
      <c:valAx>
        <c:axId val="81944960"/>
        <c:scaling>
          <c:orientation val="minMax"/>
          <c:max val="250"/>
          <c:min val="0"/>
        </c:scaling>
        <c:axPos val="b"/>
        <c:title>
          <c:tx>
            <c:rich>
              <a:bodyPr/>
              <a:lstStyle/>
              <a:p>
                <a:pPr>
                  <a:defRPr sz="1000" b="1" i="0" u="none" strike="noStrike" baseline="0">
                    <a:solidFill>
                      <a:srgbClr val="000000"/>
                    </a:solidFill>
                    <a:latin typeface="Arial"/>
                    <a:ea typeface="Arial"/>
                    <a:cs typeface="Arial"/>
                  </a:defRPr>
                </a:pPr>
                <a:r>
                  <a:rPr lang="en-US"/>
                  <a:t>Capital</a:t>
                </a:r>
              </a:p>
            </c:rich>
          </c:tx>
          <c:spPr>
            <a:noFill/>
            <a:ln w="25400">
              <a:noFill/>
            </a:ln>
          </c:spPr>
        </c:title>
        <c:numFmt formatCode="0" sourceLinked="0"/>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81946880"/>
        <c:crosses val="autoZero"/>
        <c:crossBetween val="midCat"/>
        <c:majorUnit val="25"/>
      </c:valAx>
      <c:valAx>
        <c:axId val="81946880"/>
        <c:scaling>
          <c:orientation val="minMax"/>
          <c:max val="2"/>
          <c:min val="0"/>
        </c:scaling>
        <c:axPos val="l"/>
        <c:majorGridlines>
          <c:spPr>
            <a:ln w="3175">
              <a:solidFill>
                <a:srgbClr val="FFFFFF"/>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Rent</a:t>
                </a:r>
              </a:p>
            </c:rich>
          </c:tx>
          <c:spPr>
            <a:noFill/>
            <a:ln w="25400">
              <a:noFill/>
            </a:ln>
          </c:spPr>
        </c:title>
        <c:numFmt formatCode="#,##0.0" sourceLinked="0"/>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81944960"/>
        <c:crosses val="autoZero"/>
        <c:crossBetween val="midCat"/>
      </c:valAx>
      <c:spPr>
        <a:solidFill>
          <a:srgbClr val="FFFFFF"/>
        </a:solidFill>
        <a:ln w="25400">
          <a:noFill/>
        </a:ln>
      </c:spPr>
    </c:plotArea>
    <c:legend>
      <c:legendPos val="r"/>
      <c:legendEntry>
        <c:idx val="2"/>
        <c:delete val="1"/>
      </c:legendEntry>
      <c:layout>
        <c:manualLayout>
          <c:xMode val="edge"/>
          <c:yMode val="edge"/>
          <c:x val="0.16417931057156476"/>
          <c:y val="3.7815048903640416E-2"/>
          <c:w val="0.7042019956273734"/>
          <c:h val="4.9428810187964162E-2"/>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284796573875803"/>
          <c:y val="0.14437773849697361"/>
          <c:w val="0.81584582441113562"/>
          <c:h val="0.73377342117949562"/>
        </c:manualLayout>
      </c:layout>
      <c:scatterChart>
        <c:scatterStyle val="smoothMarker"/>
        <c:ser>
          <c:idx val="0"/>
          <c:order val="0"/>
          <c:tx>
            <c:v>Indifference Curve</c:v>
          </c:tx>
          <c:spPr>
            <a:ln w="12700">
              <a:solidFill>
                <a:srgbClr val="000080"/>
              </a:solidFill>
              <a:prstDash val="solid"/>
            </a:ln>
          </c:spPr>
          <c:marker>
            <c:symbol val="none"/>
          </c:marker>
          <c:xVal>
            <c:numRef>
              <c:f>Model!$DV$5:$DV$40</c:f>
              <c:numCache>
                <c:formatCode>0.0</c:formatCode>
                <c:ptCount val="36"/>
                <c:pt idx="0">
                  <c:v>226.0734100433026</c:v>
                </c:pt>
                <c:pt idx="1">
                  <c:v>214.61262325327519</c:v>
                </c:pt>
                <c:pt idx="2">
                  <c:v>205.17100994178929</c:v>
                </c:pt>
                <c:pt idx="3">
                  <c:v>197.19827187062145</c:v>
                </c:pt>
                <c:pt idx="4">
                  <c:v>190.33606995246052</c:v>
                </c:pt>
                <c:pt idx="5">
                  <c:v>184.33918343819073</c:v>
                </c:pt>
                <c:pt idx="6">
                  <c:v>179.03308735001667</c:v>
                </c:pt>
                <c:pt idx="7">
                  <c:v>174.28955758977025</c:v>
                </c:pt>
                <c:pt idx="8">
                  <c:v>170.01187523759125</c:v>
                </c:pt>
                <c:pt idx="9">
                  <c:v>166.12545173486711</c:v>
                </c:pt>
                <c:pt idx="10">
                  <c:v>162.57166754752251</c:v>
                </c:pt>
                <c:pt idx="11">
                  <c:v>159.30369501324026</c:v>
                </c:pt>
                <c:pt idx="12">
                  <c:v>156.28358966214719</c:v>
                </c:pt>
                <c:pt idx="13">
                  <c:v>153.48021716262994</c:v>
                </c:pt>
                <c:pt idx="14">
                  <c:v>150.86774534843357</c:v>
                </c:pt>
                <c:pt idx="15">
                  <c:v>148.42452728530483</c:v>
                </c:pt>
                <c:pt idx="16">
                  <c:v>146.13226053164178</c:v>
                </c:pt>
                <c:pt idx="17">
                  <c:v>143.97534507581946</c:v>
                </c:pt>
                <c:pt idx="18">
                  <c:v>141.94038655768139</c:v>
                </c:pt>
                <c:pt idx="19">
                  <c:v>140.01580732117179</c:v>
                </c:pt>
                <c:pt idx="20">
                  <c:v>138.19153858829964</c:v>
                </c:pt>
                <c:pt idx="21">
                  <c:v>136.45877441752569</c:v>
                </c:pt>
                <c:pt idx="22">
                  <c:v>134.80977325358504</c:v>
                </c:pt>
                <c:pt idx="23">
                  <c:v>133.23769651904433</c:v>
                </c:pt>
                <c:pt idx="24">
                  <c:v>131.7364763143155</c:v>
                </c:pt>
                <c:pt idx="25">
                  <c:v>130.30070619595898</c:v>
                </c:pt>
                <c:pt idx="26">
                  <c:v>128.92555040384559</c:v>
                </c:pt>
                <c:pt idx="27">
                  <c:v>127.60666795006088</c:v>
                </c:pt>
                <c:pt idx="28">
                  <c:v>126.34014876601123</c:v>
                </c:pt>
                <c:pt idx="29">
                  <c:v>125.1224596988765</c:v>
                </c:pt>
                <c:pt idx="30">
                  <c:v>123.95039860391229</c:v>
                </c:pt>
                <c:pt idx="31">
                  <c:v>122.82105513070927</c:v>
                </c:pt>
                <c:pt idx="32">
                  <c:v>121.73177707513021</c:v>
                </c:pt>
                <c:pt idx="33">
                  <c:v>120.68014138314408</c:v>
                </c:pt>
                <c:pt idx="34">
                  <c:v>119.66392906211026</c:v>
                </c:pt>
                <c:pt idx="35">
                  <c:v>118.68110338961326</c:v>
                </c:pt>
              </c:numCache>
            </c:numRef>
          </c:xVal>
          <c:yVal>
            <c:numRef>
              <c:f>Model!$DW$5:$DW$40</c:f>
              <c:numCache>
                <c:formatCode>0.0</c:formatCode>
                <c:ptCount val="36"/>
                <c:pt idx="0">
                  <c:v>32.707379925246293</c:v>
                </c:pt>
                <c:pt idx="1">
                  <c:v>38.232123642905044</c:v>
                </c:pt>
                <c:pt idx="2">
                  <c:v>43.756867360563795</c:v>
                </c:pt>
                <c:pt idx="3">
                  <c:v>49.281611078222546</c:v>
                </c:pt>
                <c:pt idx="4">
                  <c:v>54.806354795881298</c:v>
                </c:pt>
                <c:pt idx="5">
                  <c:v>60.331098513540049</c:v>
                </c:pt>
                <c:pt idx="6">
                  <c:v>65.855842231198807</c:v>
                </c:pt>
                <c:pt idx="7">
                  <c:v>71.380585948857558</c:v>
                </c:pt>
                <c:pt idx="8">
                  <c:v>76.905329666516309</c:v>
                </c:pt>
                <c:pt idx="9">
                  <c:v>82.43007338417506</c:v>
                </c:pt>
                <c:pt idx="10">
                  <c:v>87.954817101833811</c:v>
                </c:pt>
                <c:pt idx="11">
                  <c:v>93.479560819492562</c:v>
                </c:pt>
                <c:pt idx="12">
                  <c:v>99.004304537151313</c:v>
                </c:pt>
                <c:pt idx="13">
                  <c:v>104.52904825481006</c:v>
                </c:pt>
                <c:pt idx="14">
                  <c:v>110.05379197246882</c:v>
                </c:pt>
                <c:pt idx="15">
                  <c:v>115.57853569012757</c:v>
                </c:pt>
                <c:pt idx="16">
                  <c:v>121.10327940778632</c:v>
                </c:pt>
                <c:pt idx="17">
                  <c:v>126.62802312544507</c:v>
                </c:pt>
                <c:pt idx="18">
                  <c:v>132.15276684310382</c:v>
                </c:pt>
                <c:pt idx="19">
                  <c:v>137.67751056076258</c:v>
                </c:pt>
                <c:pt idx="20">
                  <c:v>143.20225427842132</c:v>
                </c:pt>
                <c:pt idx="21">
                  <c:v>148.72699799608006</c:v>
                </c:pt>
                <c:pt idx="22">
                  <c:v>154.2517417137388</c:v>
                </c:pt>
                <c:pt idx="23">
                  <c:v>159.77648543139753</c:v>
                </c:pt>
                <c:pt idx="24">
                  <c:v>165.30122914905627</c:v>
                </c:pt>
                <c:pt idx="25">
                  <c:v>170.82597286671501</c:v>
                </c:pt>
                <c:pt idx="26">
                  <c:v>176.35071658437374</c:v>
                </c:pt>
                <c:pt idx="27">
                  <c:v>181.87546030203248</c:v>
                </c:pt>
                <c:pt idx="28">
                  <c:v>187.40020401969122</c:v>
                </c:pt>
                <c:pt idx="29">
                  <c:v>192.92494773734995</c:v>
                </c:pt>
                <c:pt idx="30">
                  <c:v>198.44969145500869</c:v>
                </c:pt>
                <c:pt idx="31">
                  <c:v>203.97443517266743</c:v>
                </c:pt>
                <c:pt idx="32">
                  <c:v>209.49917889032616</c:v>
                </c:pt>
                <c:pt idx="33">
                  <c:v>215.0239226079849</c:v>
                </c:pt>
                <c:pt idx="34">
                  <c:v>220.54866632564364</c:v>
                </c:pt>
                <c:pt idx="35">
                  <c:v>226.0734100433026</c:v>
                </c:pt>
              </c:numCache>
            </c:numRef>
          </c:yVal>
          <c:smooth val="1"/>
        </c:ser>
        <c:ser>
          <c:idx val="1"/>
          <c:order val="1"/>
          <c:tx>
            <c:v>Transformation Locus</c:v>
          </c:tx>
          <c:spPr>
            <a:ln w="12700">
              <a:solidFill>
                <a:srgbClr val="008000"/>
              </a:solidFill>
              <a:prstDash val="solid"/>
            </a:ln>
          </c:spPr>
          <c:marker>
            <c:symbol val="none"/>
          </c:marker>
          <c:xVal>
            <c:numRef>
              <c:f>Model!$DS$5:$DS$40</c:f>
              <c:numCache>
                <c:formatCode>0.0</c:formatCode>
                <c:ptCount val="36"/>
                <c:pt idx="0">
                  <c:v>0</c:v>
                </c:pt>
                <c:pt idx="1">
                  <c:v>31.99716092179667</c:v>
                </c:pt>
                <c:pt idx="2">
                  <c:v>52.443902735238304</c:v>
                </c:pt>
                <c:pt idx="3">
                  <c:v>66.876986309343735</c:v>
                </c:pt>
                <c:pt idx="4">
                  <c:v>77.768243425970255</c:v>
                </c:pt>
                <c:pt idx="5">
                  <c:v>86.387672938809786</c:v>
                </c:pt>
                <c:pt idx="6">
                  <c:v>93.455573610952683</c:v>
                </c:pt>
                <c:pt idx="7">
                  <c:v>99.41168452854572</c:v>
                </c:pt>
                <c:pt idx="8">
                  <c:v>104.5402367390468</c:v>
                </c:pt>
                <c:pt idx="9">
                  <c:v>109.0335223351389</c:v>
                </c:pt>
                <c:pt idx="10">
                  <c:v>113.02658020190623</c:v>
                </c:pt>
                <c:pt idx="11">
                  <c:v>116.61723862767549</c:v>
                </c:pt>
                <c:pt idx="12">
                  <c:v>119.87825926838076</c:v>
                </c:pt>
                <c:pt idx="13">
                  <c:v>122.86499514325952</c:v>
                </c:pt>
                <c:pt idx="14">
                  <c:v>125.6203873982145</c:v>
                </c:pt>
                <c:pt idx="15">
                  <c:v>128.1783232542042</c:v>
                </c:pt>
                <c:pt idx="16">
                  <c:v>130.56595153151463</c:v>
                </c:pt>
                <c:pt idx="17">
                  <c:v>132.80531602222374</c:v>
                </c:pt>
                <c:pt idx="18">
                  <c:v>134.9145311383177</c:v>
                </c:pt>
                <c:pt idx="19">
                  <c:v>136.90864349635049</c:v>
                </c:pt>
                <c:pt idx="20">
                  <c:v>138.80027365852402</c:v>
                </c:pt>
                <c:pt idx="21">
                  <c:v>140.60010118557514</c:v>
                </c:pt>
                <c:pt idx="22">
                  <c:v>142.31723617561599</c:v>
                </c:pt>
                <c:pt idx="23">
                  <c:v>143.95950733533624</c:v>
                </c:pt>
                <c:pt idx="24">
                  <c:v>145.53368783720018</c:v>
                </c:pt>
                <c:pt idx="25">
                  <c:v>147.04567422241351</c:v>
                </c:pt>
                <c:pt idx="26">
                  <c:v>148.50062945710101</c:v>
                </c:pt>
                <c:pt idx="27">
                  <c:v>149.90309832951982</c:v>
                </c:pt>
                <c:pt idx="28">
                  <c:v>151.25710129492555</c:v>
                </c:pt>
                <c:pt idx="29">
                  <c:v>152.56621137220037</c:v>
                </c:pt>
                <c:pt idx="30">
                  <c:v>153.8336175987528</c:v>
                </c:pt>
                <c:pt idx="31">
                  <c:v>155.06217773953648</c:v>
                </c:pt>
                <c:pt idx="32">
                  <c:v>156.25446234111479</c:v>
                </c:pt>
                <c:pt idx="33">
                  <c:v>157.41279176596152</c:v>
                </c:pt>
                <c:pt idx="34">
                  <c:v>158.53926749572562</c:v>
                </c:pt>
                <c:pt idx="35">
                  <c:v>159.63579872656655</c:v>
                </c:pt>
              </c:numCache>
            </c:numRef>
          </c:xVal>
          <c:yVal>
            <c:numRef>
              <c:f>Model!$DT$5:$DT$40</c:f>
              <c:numCache>
                <c:formatCode>0.0</c:formatCode>
                <c:ptCount val="36"/>
                <c:pt idx="0">
                  <c:v>196.95360184664824</c:v>
                </c:pt>
                <c:pt idx="1">
                  <c:v>183.64588489965331</c:v>
                </c:pt>
                <c:pt idx="2">
                  <c:v>172.90665645624259</c:v>
                </c:pt>
                <c:pt idx="3">
                  <c:v>163.75347025496029</c:v>
                </c:pt>
                <c:pt idx="4">
                  <c:v>155.66213061508674</c:v>
                </c:pt>
                <c:pt idx="5">
                  <c:v>148.32243697673326</c:v>
                </c:pt>
                <c:pt idx="6">
                  <c:v>141.53689695674765</c:v>
                </c:pt>
                <c:pt idx="7">
                  <c:v>135.17272534495061</c:v>
                </c:pt>
                <c:pt idx="8">
                  <c:v>129.1367846400104</c:v>
                </c:pt>
                <c:pt idx="9">
                  <c:v>123.36150146954115</c:v>
                </c:pt>
                <c:pt idx="10">
                  <c:v>117.79647708729522</c:v>
                </c:pt>
                <c:pt idx="11">
                  <c:v>112.40324817927458</c:v>
                </c:pt>
                <c:pt idx="12">
                  <c:v>107.15188452509608</c:v>
                </c:pt>
                <c:pt idx="13">
                  <c:v>102.01870549823109</c:v>
                </c:pt>
                <c:pt idx="14">
                  <c:v>96.984703717477302</c:v>
                </c:pt>
                <c:pt idx="15">
                  <c:v>92.034430043131991</c:v>
                </c:pt>
                <c:pt idx="16">
                  <c:v>87.155187947676183</c:v>
                </c:pt>
                <c:pt idx="17">
                  <c:v>82.336440411382355</c:v>
                </c:pt>
                <c:pt idx="18">
                  <c:v>77.569365954245015</c:v>
                </c:pt>
                <c:pt idx="19">
                  <c:v>72.846521324995194</c:v>
                </c:pt>
                <c:pt idx="20">
                  <c:v>68.16158177424083</c:v>
                </c:pt>
                <c:pt idx="21">
                  <c:v>63.509138634207396</c:v>
                </c:pt>
                <c:pt idx="22">
                  <c:v>58.884539818513133</c:v>
                </c:pt>
                <c:pt idx="23">
                  <c:v>54.283762875512693</c:v>
                </c:pt>
                <c:pt idx="24">
                  <c:v>49.703313019174765</c:v>
                </c:pt>
                <c:pt idx="25">
                  <c:v>45.140140528661405</c:v>
                </c:pt>
                <c:pt idx="26">
                  <c:v>40.591573314496671</c:v>
                </c:pt>
                <c:pt idx="27">
                  <c:v>36.055261468401696</c:v>
                </c:pt>
                <c:pt idx="28">
                  <c:v>31.529131361279109</c:v>
                </c:pt>
                <c:pt idx="29">
                  <c:v>27.011347408103958</c:v>
                </c:pt>
                <c:pt idx="30">
                  <c:v>22.500280033821355</c:v>
                </c:pt>
                <c:pt idx="31">
                  <c:v>17.99447868862017</c:v>
                </c:pt>
                <c:pt idx="32">
                  <c:v>13.492649000916972</c:v>
                </c:pt>
                <c:pt idx="33">
                  <c:v>8.9936333411503337</c:v>
                </c:pt>
                <c:pt idx="34">
                  <c:v>4.4963942128999932</c:v>
                </c:pt>
                <c:pt idx="35">
                  <c:v>0</c:v>
                </c:pt>
              </c:numCache>
            </c:numRef>
          </c:yVal>
          <c:smooth val="1"/>
        </c:ser>
        <c:ser>
          <c:idx val="4"/>
          <c:order val="2"/>
          <c:tx>
            <c:v>Trade Prices</c:v>
          </c:tx>
          <c:spPr>
            <a:ln w="12700">
              <a:solidFill>
                <a:srgbClr val="000000"/>
              </a:solidFill>
              <a:prstDash val="solid"/>
            </a:ln>
          </c:spPr>
          <c:marker>
            <c:symbol val="none"/>
          </c:marker>
          <c:xVal>
            <c:numRef>
              <c:f>Model!$DY$5:$DY$6</c:f>
              <c:numCache>
                <c:formatCode>0.0</c:formatCode>
                <c:ptCount val="2"/>
                <c:pt idx="0">
                  <c:v>251.19267782589176</c:v>
                </c:pt>
                <c:pt idx="1">
                  <c:v>0</c:v>
                </c:pt>
              </c:numCache>
            </c:numRef>
          </c:xVal>
          <c:yVal>
            <c:numRef>
              <c:f>Model!$DZ$5:$DZ$6</c:f>
              <c:numCache>
                <c:formatCode>0.0</c:formatCode>
                <c:ptCount val="2"/>
                <c:pt idx="0">
                  <c:v>0</c:v>
                </c:pt>
                <c:pt idx="1">
                  <c:v>226.0734100433026</c:v>
                </c:pt>
              </c:numCache>
            </c:numRef>
          </c:yVal>
          <c:smooth val="1"/>
        </c:ser>
        <c:ser>
          <c:idx val="2"/>
          <c:order val="3"/>
          <c:tx>
            <c:v>Consumer Prices</c:v>
          </c:tx>
          <c:spPr>
            <a:ln w="12700"/>
          </c:spPr>
          <c:marker>
            <c:symbol val="none"/>
          </c:marker>
          <c:xVal>
            <c:numRef>
              <c:f>Model!$EA$5:$EA$6</c:f>
              <c:numCache>
                <c:formatCode>0.0</c:formatCode>
                <c:ptCount val="2"/>
                <c:pt idx="0">
                  <c:v>251.19267782589176</c:v>
                </c:pt>
                <c:pt idx="1">
                  <c:v>0</c:v>
                </c:pt>
              </c:numCache>
            </c:numRef>
          </c:xVal>
          <c:yVal>
            <c:numRef>
              <c:f>Model!$EB$5:$EB$6</c:f>
              <c:numCache>
                <c:formatCode>0.0</c:formatCode>
                <c:ptCount val="2"/>
                <c:pt idx="0">
                  <c:v>0</c:v>
                </c:pt>
                <c:pt idx="1">
                  <c:v>226.0734100433026</c:v>
                </c:pt>
              </c:numCache>
            </c:numRef>
          </c:yVal>
          <c:smooth val="1"/>
        </c:ser>
        <c:ser>
          <c:idx val="3"/>
          <c:order val="4"/>
          <c:tx>
            <c:v>Producer Prices</c:v>
          </c:tx>
          <c:spPr>
            <a:ln w="12700"/>
          </c:spPr>
          <c:marker>
            <c:symbol val="none"/>
          </c:marker>
          <c:xVal>
            <c:numRef>
              <c:f>Model!$EC$5:$EC$6</c:f>
              <c:numCache>
                <c:formatCode>0.0</c:formatCode>
                <c:ptCount val="2"/>
                <c:pt idx="0">
                  <c:v>251.19267782589176</c:v>
                </c:pt>
                <c:pt idx="1">
                  <c:v>0</c:v>
                </c:pt>
              </c:numCache>
            </c:numRef>
          </c:xVal>
          <c:yVal>
            <c:numRef>
              <c:f>Model!$ED$5:$ED$6</c:f>
              <c:numCache>
                <c:formatCode>0.0</c:formatCode>
                <c:ptCount val="2"/>
                <c:pt idx="0">
                  <c:v>0</c:v>
                </c:pt>
                <c:pt idx="1">
                  <c:v>226.0734100433026</c:v>
                </c:pt>
              </c:numCache>
            </c:numRef>
          </c:yVal>
          <c:smooth val="1"/>
        </c:ser>
        <c:ser>
          <c:idx val="5"/>
          <c:order val="5"/>
          <c:tx>
            <c:v>Output dot</c:v>
          </c:tx>
          <c:marker>
            <c:symbol val="circle"/>
            <c:size val="5"/>
            <c:spPr>
              <a:solidFill>
                <a:sysClr val="windowText" lastClr="000000"/>
              </a:solidFill>
              <a:ln>
                <a:noFill/>
              </a:ln>
            </c:spPr>
          </c:marker>
          <c:xVal>
            <c:numRef>
              <c:f>Model!$DY$11</c:f>
              <c:numCache>
                <c:formatCode>0.0</c:formatCode>
                <c:ptCount val="1"/>
                <c:pt idx="0">
                  <c:v>85.840955544057195</c:v>
                </c:pt>
              </c:numCache>
            </c:numRef>
          </c:xVal>
          <c:yVal>
            <c:numRef>
              <c:f>Model!$DZ$11</c:f>
              <c:numCache>
                <c:formatCode>0.0</c:formatCode>
                <c:ptCount val="1"/>
                <c:pt idx="0">
                  <c:v>148.81655005365113</c:v>
                </c:pt>
              </c:numCache>
            </c:numRef>
          </c:yVal>
          <c:smooth val="1"/>
        </c:ser>
        <c:ser>
          <c:idx val="6"/>
          <c:order val="6"/>
          <c:tx>
            <c:v>Consumption Dot</c:v>
          </c:tx>
          <c:marker>
            <c:symbol val="circle"/>
            <c:size val="5"/>
            <c:spPr>
              <a:solidFill>
                <a:sysClr val="windowText" lastClr="000000"/>
              </a:solidFill>
              <a:ln>
                <a:noFill/>
              </a:ln>
            </c:spPr>
          </c:marker>
          <c:xVal>
            <c:numRef>
              <c:f>Model!$EA$11</c:f>
              <c:numCache>
                <c:formatCode>0.0</c:formatCode>
                <c:ptCount val="1"/>
                <c:pt idx="0">
                  <c:v>188.39450836941884</c:v>
                </c:pt>
              </c:numCache>
            </c:numRef>
          </c:xVal>
          <c:yVal>
            <c:numRef>
              <c:f>Model!$EB$11</c:f>
              <c:numCache>
                <c:formatCode>0.0</c:formatCode>
                <c:ptCount val="1"/>
                <c:pt idx="0">
                  <c:v>56.51835251082565</c:v>
                </c:pt>
              </c:numCache>
            </c:numRef>
          </c:yVal>
          <c:smooth val="1"/>
        </c:ser>
        <c:axId val="164379648"/>
        <c:axId val="164386304"/>
      </c:scatterChart>
      <c:valAx>
        <c:axId val="164379648"/>
        <c:scaling>
          <c:orientation val="minMax"/>
          <c:max val="250"/>
          <c:min val="0"/>
        </c:scaling>
        <c:axPos val="b"/>
        <c:title>
          <c:tx>
            <c:rich>
              <a:bodyPr/>
              <a:lstStyle/>
              <a:p>
                <a:pPr>
                  <a:defRPr sz="975" b="1" i="0" u="none" strike="noStrike" baseline="0">
                    <a:solidFill>
                      <a:srgbClr val="000000"/>
                    </a:solidFill>
                    <a:latin typeface="Arial"/>
                    <a:ea typeface="Arial"/>
                    <a:cs typeface="Arial"/>
                  </a:defRPr>
                </a:pPr>
                <a:r>
                  <a:rPr lang="en-US"/>
                  <a:t>Quantity of X</a:t>
                </a:r>
              </a:p>
            </c:rich>
          </c:tx>
          <c:layout>
            <c:manualLayout>
              <c:xMode val="edge"/>
              <c:yMode val="edge"/>
              <c:x val="0.44325482042017472"/>
              <c:y val="0.94327739575539471"/>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64386304"/>
        <c:crosses val="autoZero"/>
        <c:crossBetween val="midCat"/>
        <c:majorUnit val="25"/>
      </c:valAx>
      <c:valAx>
        <c:axId val="164386304"/>
        <c:scaling>
          <c:orientation val="minMax"/>
          <c:max val="250"/>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Quantity of Y</a:t>
                </a:r>
              </a:p>
            </c:rich>
          </c:tx>
          <c:layout>
            <c:manualLayout>
              <c:xMode val="edge"/>
              <c:yMode val="edge"/>
              <c:x val="1.0706616218427244E-2"/>
              <c:y val="0.40126055510029568"/>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64379648"/>
        <c:crosses val="autoZero"/>
        <c:crossBetween val="midCat"/>
        <c:majorUnit val="25"/>
      </c:valAx>
      <c:spPr>
        <a:solidFill>
          <a:srgbClr val="FFFFFF"/>
        </a:solidFill>
        <a:ln w="25400">
          <a:noFill/>
        </a:ln>
      </c:spPr>
    </c:plotArea>
    <c:legend>
      <c:legendPos val="r"/>
      <c:legendEntry>
        <c:idx val="5"/>
        <c:delete val="1"/>
      </c:legendEntry>
      <c:legendEntry>
        <c:idx val="6"/>
        <c:delete val="1"/>
      </c:legendEntry>
      <c:layout>
        <c:manualLayout>
          <c:xMode val="edge"/>
          <c:yMode val="edge"/>
          <c:x val="0.12554135278544729"/>
          <c:y val="1.6806688756665605E-2"/>
          <c:w val="0.82034813830089426"/>
          <c:h val="7.563021816843031E-2"/>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3146551724137931"/>
          <c:y val="0.13445378151260512"/>
          <c:w val="0.8125"/>
          <c:h val="0.74369747899159733"/>
        </c:manualLayout>
      </c:layout>
      <c:scatterChart>
        <c:scatterStyle val="smoothMarker"/>
        <c:ser>
          <c:idx val="6"/>
          <c:order val="0"/>
          <c:tx>
            <c:v>X Isoquant</c:v>
          </c:tx>
          <c:spPr>
            <a:ln w="12700">
              <a:solidFill>
                <a:srgbClr val="3366FF"/>
              </a:solidFill>
              <a:prstDash val="solid"/>
            </a:ln>
          </c:spPr>
          <c:marker>
            <c:symbol val="none"/>
          </c:marker>
          <c:xVal>
            <c:numRef>
              <c:f>Model!$DD$5:$DD$40</c:f>
              <c:numCache>
                <c:formatCode>0.0</c:formatCode>
                <c:ptCount val="36"/>
                <c:pt idx="0">
                  <c:v>135</c:v>
                </c:pt>
                <c:pt idx="1">
                  <c:v>113.73517312570183</c:v>
                </c:pt>
                <c:pt idx="2">
                  <c:v>96.303363738243064</c:v>
                </c:pt>
                <c:pt idx="3">
                  <c:v>81.931152637826031</c:v>
                </c:pt>
                <c:pt idx="4">
                  <c:v>70.016967678974794</c:v>
                </c:pt>
                <c:pt idx="5">
                  <c:v>60.089569691325714</c:v>
                </c:pt>
                <c:pt idx="6">
                  <c:v>51.777332375565059</c:v>
                </c:pt>
                <c:pt idx="7">
                  <c:v>44.785320244846048</c:v>
                </c:pt>
                <c:pt idx="8">
                  <c:v>38.878050331902259</c:v>
                </c:pt>
                <c:pt idx="9">
                  <c:v>33.866431504748334</c:v>
                </c:pt>
                <c:pt idx="10">
                  <c:v>29.597798860683422</c:v>
                </c:pt>
                <c:pt idx="11">
                  <c:v>25.948258553221411</c:v>
                </c:pt>
                <c:pt idx="12">
                  <c:v>22.816769745273699</c:v>
                </c:pt>
                <c:pt idx="13">
                  <c:v>20.120541592941073</c:v>
                </c:pt>
                <c:pt idx="14">
                  <c:v>17.791432228903474</c:v>
                </c:pt>
                <c:pt idx="15">
                  <c:v>15.773115985610138</c:v>
                </c:pt>
                <c:pt idx="16">
                  <c:v>14.01884313809467</c:v>
                </c:pt>
                <c:pt idx="17">
                  <c:v>12.489659238756575</c:v>
                </c:pt>
                <c:pt idx="18">
                  <c:v>11.152982878747354</c:v>
                </c:pt>
                <c:pt idx="19">
                  <c:v>9.9814644369902119</c:v>
                </c:pt>
                <c:pt idx="20">
                  <c:v>8.952066210264233</c:v>
                </c:pt>
                <c:pt idx="21">
                  <c:v>8.0453177992604683</c:v>
                </c:pt>
                <c:pt idx="22">
                  <c:v>7.2447108751974012</c:v>
                </c:pt>
                <c:pt idx="23">
                  <c:v>6.5362052864690101</c:v>
                </c:pt>
                <c:pt idx="24">
                  <c:v>5.9078244850172696</c:v>
                </c:pt>
                <c:pt idx="25">
                  <c:v>5.3493229011658991</c:v>
                </c:pt>
                <c:pt idx="26">
                  <c:v>4.8519115031486635</c:v>
                </c:pt>
                <c:pt idx="27">
                  <c:v>4.4080305898636301</c:v>
                </c:pt>
                <c:pt idx="28">
                  <c:v>4.0111610675935889</c:v>
                </c:pt>
                <c:pt idx="29">
                  <c:v>3.6556671933557543</c:v>
                </c:pt>
                <c:pt idx="30">
                  <c:v>3.3366651352879861</c:v>
                </c:pt>
                <c:pt idx="31">
                  <c:v>3.0499127849766619</c:v>
                </c:pt>
                <c:pt idx="32">
                  <c:v>2.7917171198843747</c:v>
                </c:pt>
                <c:pt idx="33">
                  <c:v>2.5588561037672179</c:v>
                </c:pt>
                <c:pt idx="34">
                  <c:v>2.34851266606664</c:v>
                </c:pt>
                <c:pt idx="35">
                  <c:v>2.158218746350768</c:v>
                </c:pt>
              </c:numCache>
            </c:numRef>
          </c:xVal>
          <c:yVal>
            <c:numRef>
              <c:f>Model!$DE$5:$DE$40</c:f>
              <c:numCache>
                <c:formatCode>0.0</c:formatCode>
                <c:ptCount val="36"/>
                <c:pt idx="0">
                  <c:v>48.196640717595152</c:v>
                </c:pt>
                <c:pt idx="1">
                  <c:v>49.67673669709243</c:v>
                </c:pt>
                <c:pt idx="2">
                  <c:v>51.156832676589708</c:v>
                </c:pt>
                <c:pt idx="3">
                  <c:v>52.636928656086987</c:v>
                </c:pt>
                <c:pt idx="4">
                  <c:v>54.117024635584265</c:v>
                </c:pt>
                <c:pt idx="5">
                  <c:v>55.597120615081543</c:v>
                </c:pt>
                <c:pt idx="6">
                  <c:v>57.077216594578822</c:v>
                </c:pt>
                <c:pt idx="7">
                  <c:v>58.5573125740761</c:v>
                </c:pt>
                <c:pt idx="8">
                  <c:v>60.037408553573378</c:v>
                </c:pt>
                <c:pt idx="9">
                  <c:v>61.517504533070657</c:v>
                </c:pt>
                <c:pt idx="10">
                  <c:v>62.997600512567935</c:v>
                </c:pt>
                <c:pt idx="11">
                  <c:v>64.47769649206522</c:v>
                </c:pt>
                <c:pt idx="12">
                  <c:v>65.957792471562499</c:v>
                </c:pt>
                <c:pt idx="13">
                  <c:v>67.437888451059777</c:v>
                </c:pt>
                <c:pt idx="14">
                  <c:v>68.917984430557055</c:v>
                </c:pt>
                <c:pt idx="15">
                  <c:v>70.398080410054334</c:v>
                </c:pt>
                <c:pt idx="16">
                  <c:v>71.878176389551612</c:v>
                </c:pt>
                <c:pt idx="17">
                  <c:v>73.35827236904889</c:v>
                </c:pt>
                <c:pt idx="18">
                  <c:v>74.838368348546169</c:v>
                </c:pt>
                <c:pt idx="19">
                  <c:v>76.318464328043447</c:v>
                </c:pt>
                <c:pt idx="20">
                  <c:v>77.798560307540725</c:v>
                </c:pt>
                <c:pt idx="21">
                  <c:v>79.278656287038004</c:v>
                </c:pt>
                <c:pt idx="22">
                  <c:v>80.758752266535282</c:v>
                </c:pt>
                <c:pt idx="23">
                  <c:v>82.23884824603256</c:v>
                </c:pt>
                <c:pt idx="24">
                  <c:v>83.718944225529839</c:v>
                </c:pt>
                <c:pt idx="25">
                  <c:v>85.199040205027117</c:v>
                </c:pt>
                <c:pt idx="26">
                  <c:v>86.679136184524396</c:v>
                </c:pt>
                <c:pt idx="27">
                  <c:v>88.159232164021674</c:v>
                </c:pt>
                <c:pt idx="28">
                  <c:v>89.639328143518952</c:v>
                </c:pt>
                <c:pt idx="29">
                  <c:v>91.119424123016231</c:v>
                </c:pt>
                <c:pt idx="30">
                  <c:v>92.599520102513509</c:v>
                </c:pt>
                <c:pt idx="31">
                  <c:v>94.079616082010787</c:v>
                </c:pt>
                <c:pt idx="32">
                  <c:v>95.559712061508066</c:v>
                </c:pt>
                <c:pt idx="33">
                  <c:v>97.039808041005344</c:v>
                </c:pt>
                <c:pt idx="34">
                  <c:v>98.519904020502622</c:v>
                </c:pt>
                <c:pt idx="35">
                  <c:v>100</c:v>
                </c:pt>
              </c:numCache>
            </c:numRef>
          </c:yVal>
          <c:smooth val="1"/>
        </c:ser>
        <c:ser>
          <c:idx val="1"/>
          <c:order val="1"/>
          <c:tx>
            <c:v>X Factor Intensity</c:v>
          </c:tx>
          <c:spPr>
            <a:ln w="12700">
              <a:solidFill>
                <a:srgbClr val="000080"/>
              </a:solidFill>
              <a:prstDash val="solid"/>
            </a:ln>
          </c:spPr>
          <c:marker>
            <c:symbol val="none"/>
          </c:marker>
          <c:dPt>
            <c:idx val="1"/>
            <c:marker>
              <c:symbol val="circle"/>
              <c:size val="5"/>
              <c:spPr>
                <a:solidFill>
                  <a:sysClr val="windowText" lastClr="000000"/>
                </a:solidFill>
                <a:ln>
                  <a:noFill/>
                </a:ln>
              </c:spPr>
            </c:marker>
          </c:dPt>
          <c:xVal>
            <c:numRef>
              <c:f>Model!$CR$5:$CR$6</c:f>
              <c:numCache>
                <c:formatCode>0.0</c:formatCode>
                <c:ptCount val="2"/>
                <c:pt idx="0">
                  <c:v>0</c:v>
                </c:pt>
                <c:pt idx="1">
                  <c:v>11.329823264812003</c:v>
                </c:pt>
              </c:numCache>
            </c:numRef>
          </c:xVal>
          <c:yVal>
            <c:numRef>
              <c:f>Model!$CS$5:$CS$6</c:f>
              <c:numCache>
                <c:formatCode>0.0</c:formatCode>
                <c:ptCount val="2"/>
                <c:pt idx="0">
                  <c:v>0</c:v>
                </c:pt>
                <c:pt idx="1">
                  <c:v>74.6308942714371</c:v>
                </c:pt>
              </c:numCache>
            </c:numRef>
          </c:yVal>
          <c:smooth val="1"/>
        </c:ser>
        <c:ser>
          <c:idx val="5"/>
          <c:order val="2"/>
          <c:tx>
            <c:strRef>
              <c:f>Model!$CX$3</c:f>
              <c:strCache>
                <c:ptCount val="1"/>
                <c:pt idx="0">
                  <c:v>X Factor Price Ratio</c:v>
                </c:pt>
              </c:strCache>
            </c:strRef>
          </c:tx>
          <c:spPr>
            <a:ln w="12700">
              <a:solidFill>
                <a:srgbClr val="000000"/>
              </a:solidFill>
              <a:prstDash val="solid"/>
            </a:ln>
          </c:spPr>
          <c:marker>
            <c:symbol val="none"/>
          </c:marker>
          <c:xVal>
            <c:numRef>
              <c:f>Model!$CX$5:$CX$6</c:f>
              <c:numCache>
                <c:formatCode>0.0</c:formatCode>
                <c:ptCount val="2"/>
                <c:pt idx="0">
                  <c:v>75.532155098746657</c:v>
                </c:pt>
                <c:pt idx="1">
                  <c:v>0</c:v>
                </c:pt>
              </c:numCache>
            </c:numRef>
          </c:xVal>
          <c:yVal>
            <c:numRef>
              <c:f>Model!$CY$5:$CY$6</c:f>
              <c:numCache>
                <c:formatCode>0.0</c:formatCode>
                <c:ptCount val="2"/>
                <c:pt idx="0">
                  <c:v>0</c:v>
                </c:pt>
                <c:pt idx="1">
                  <c:v>87.801052084043619</c:v>
                </c:pt>
              </c:numCache>
            </c:numRef>
          </c:yVal>
          <c:smooth val="1"/>
        </c:ser>
        <c:ser>
          <c:idx val="7"/>
          <c:order val="3"/>
          <c:tx>
            <c:v>Y Isoquant</c:v>
          </c:tx>
          <c:spPr>
            <a:ln w="12700">
              <a:solidFill>
                <a:srgbClr val="FF00FF"/>
              </a:solidFill>
              <a:prstDash val="solid"/>
            </a:ln>
          </c:spPr>
          <c:marker>
            <c:symbol val="none"/>
          </c:marker>
          <c:xVal>
            <c:numRef>
              <c:f>Model!$DG$5:$DG$40</c:f>
              <c:numCache>
                <c:formatCode>0.0</c:formatCode>
                <c:ptCount val="36"/>
                <c:pt idx="0">
                  <c:v>37.744846844201916</c:v>
                </c:pt>
                <c:pt idx="1">
                  <c:v>37.251192634659517</c:v>
                </c:pt>
                <c:pt idx="2">
                  <c:v>36.740337855178907</c:v>
                </c:pt>
                <c:pt idx="3">
                  <c:v>36.211139840382131</c:v>
                </c:pt>
                <c:pt idx="4">
                  <c:v>35.662341642522904</c:v>
                </c:pt>
                <c:pt idx="5">
                  <c:v>35.092556513711344</c:v>
                </c:pt>
                <c:pt idx="6">
                  <c:v>34.500249688583636</c:v>
                </c:pt>
                <c:pt idx="7">
                  <c:v>33.883716887532714</c:v>
                </c:pt>
                <c:pt idx="8">
                  <c:v>33.241058810650173</c:v>
                </c:pt>
                <c:pt idx="9">
                  <c:v>32.570150696733691</c:v>
                </c:pt>
                <c:pt idx="10">
                  <c:v>31.868605763731409</c:v>
                </c:pt>
                <c:pt idx="11">
                  <c:v>31.133731003781918</c:v>
                </c:pt>
                <c:pt idx="12">
                  <c:v>30.362473344609683</c:v>
                </c:pt>
                <c:pt idx="13">
                  <c:v>29.551353561780431</c:v>
                </c:pt>
                <c:pt idx="14">
                  <c:v>28.696384463194462</c:v>
                </c:pt>
                <c:pt idx="15">
                  <c:v>27.79296866385333</c:v>
                </c:pt>
                <c:pt idx="16">
                  <c:v>26.835769567209638</c:v>
                </c:pt>
                <c:pt idx="17">
                  <c:v>25.818546725246691</c:v>
                </c:pt>
                <c:pt idx="18">
                  <c:v>24.733943178728069</c:v>
                </c:pt>
                <c:pt idx="19">
                  <c:v>23.573207064092713</c:v>
                </c:pt>
                <c:pt idx="20">
                  <c:v>22.325821696975282</c:v>
                </c:pt>
                <c:pt idx="21">
                  <c:v>20.979005784150303</c:v>
                </c:pt>
                <c:pt idx="22">
                  <c:v>19.517025380520366</c:v>
                </c:pt>
                <c:pt idx="23">
                  <c:v>17.920226304776222</c:v>
                </c:pt>
                <c:pt idx="24">
                  <c:v>16.163639885696668</c:v>
                </c:pt>
                <c:pt idx="25">
                  <c:v>14.21491649852868</c:v>
                </c:pt>
                <c:pt idx="26">
                  <c:v>12.031160170876063</c:v>
                </c:pt>
                <c:pt idx="27">
                  <c:v>9.5538864336565723</c:v>
                </c:pt>
                <c:pt idx="28">
                  <c:v>6.7006023083271771</c:v>
                </c:pt>
                <c:pt idx="29">
                  <c:v>3.3499023867098856</c:v>
                </c:pt>
                <c:pt idx="30">
                  <c:v>-0.68693190618517974</c:v>
                </c:pt>
                <c:pt idx="31">
                  <c:v>-5.725558344681815</c:v>
                </c:pt>
                <c:pt idx="32">
                  <c:v>-12.351680785864602</c:v>
                </c:pt>
                <c:pt idx="33">
                  <c:v>-21.840471207408171</c:v>
                </c:pt>
                <c:pt idx="34">
                  <c:v>-37.889566937113585</c:v>
                </c:pt>
                <c:pt idx="35">
                  <c:v>-83.818249175569576</c:v>
                </c:pt>
              </c:numCache>
            </c:numRef>
          </c:xVal>
          <c:yVal>
            <c:numRef>
              <c:f>Model!$DH$5:$DH$40</c:f>
              <c:numCache>
                <c:formatCode>0.0</c:formatCode>
                <c:ptCount val="36"/>
                <c:pt idx="0">
                  <c:v>1</c:v>
                </c:pt>
                <c:pt idx="1">
                  <c:v>3.8</c:v>
                </c:pt>
                <c:pt idx="2">
                  <c:v>6.6</c:v>
                </c:pt>
                <c:pt idx="3">
                  <c:v>9.3999999999999986</c:v>
                </c:pt>
                <c:pt idx="4">
                  <c:v>12.2</c:v>
                </c:pt>
                <c:pt idx="5">
                  <c:v>15</c:v>
                </c:pt>
                <c:pt idx="6">
                  <c:v>17.8</c:v>
                </c:pt>
                <c:pt idx="7">
                  <c:v>20.6</c:v>
                </c:pt>
                <c:pt idx="8">
                  <c:v>23.400000000000002</c:v>
                </c:pt>
                <c:pt idx="9">
                  <c:v>26.200000000000003</c:v>
                </c:pt>
                <c:pt idx="10">
                  <c:v>29.000000000000004</c:v>
                </c:pt>
                <c:pt idx="11">
                  <c:v>31.800000000000004</c:v>
                </c:pt>
                <c:pt idx="12">
                  <c:v>34.6</c:v>
                </c:pt>
                <c:pt idx="13">
                  <c:v>37.4</c:v>
                </c:pt>
                <c:pt idx="14">
                  <c:v>40.199999999999996</c:v>
                </c:pt>
                <c:pt idx="15">
                  <c:v>42.999999999999993</c:v>
                </c:pt>
                <c:pt idx="16">
                  <c:v>45.79999999999999</c:v>
                </c:pt>
                <c:pt idx="17">
                  <c:v>48.599999999999987</c:v>
                </c:pt>
                <c:pt idx="18">
                  <c:v>51.399999999999984</c:v>
                </c:pt>
                <c:pt idx="19">
                  <c:v>54.199999999999982</c:v>
                </c:pt>
                <c:pt idx="20">
                  <c:v>56.999999999999979</c:v>
                </c:pt>
                <c:pt idx="21">
                  <c:v>59.799999999999976</c:v>
                </c:pt>
                <c:pt idx="22">
                  <c:v>62.599999999999973</c:v>
                </c:pt>
                <c:pt idx="23">
                  <c:v>65.399999999999977</c:v>
                </c:pt>
                <c:pt idx="24">
                  <c:v>68.199999999999974</c:v>
                </c:pt>
                <c:pt idx="25">
                  <c:v>70.999999999999972</c:v>
                </c:pt>
                <c:pt idx="26">
                  <c:v>73.799999999999969</c:v>
                </c:pt>
                <c:pt idx="27">
                  <c:v>76.599999999999966</c:v>
                </c:pt>
                <c:pt idx="28">
                  <c:v>79.399999999999963</c:v>
                </c:pt>
                <c:pt idx="29">
                  <c:v>82.19999999999996</c:v>
                </c:pt>
                <c:pt idx="30">
                  <c:v>84.999999999999957</c:v>
                </c:pt>
                <c:pt idx="31">
                  <c:v>87.799999999999955</c:v>
                </c:pt>
                <c:pt idx="32">
                  <c:v>90.599999999999952</c:v>
                </c:pt>
                <c:pt idx="33">
                  <c:v>93.399999999999949</c:v>
                </c:pt>
                <c:pt idx="34">
                  <c:v>96.199999999999946</c:v>
                </c:pt>
                <c:pt idx="35">
                  <c:v>99</c:v>
                </c:pt>
              </c:numCache>
            </c:numRef>
          </c:yVal>
          <c:smooth val="1"/>
        </c:ser>
        <c:ser>
          <c:idx val="2"/>
          <c:order val="4"/>
          <c:tx>
            <c:v>Y Factor Intensity</c:v>
          </c:tx>
          <c:spPr>
            <a:ln w="12700">
              <a:solidFill>
                <a:srgbClr val="800000"/>
              </a:solidFill>
              <a:prstDash val="solid"/>
            </a:ln>
          </c:spPr>
          <c:marker>
            <c:symbol val="none"/>
          </c:marker>
          <c:dPt>
            <c:idx val="1"/>
            <c:marker>
              <c:symbol val="circle"/>
              <c:size val="5"/>
              <c:spPr>
                <a:solidFill>
                  <a:sysClr val="windowText" lastClr="000000"/>
                </a:solidFill>
                <a:ln>
                  <a:noFill/>
                </a:ln>
              </c:spPr>
            </c:marker>
          </c:dPt>
          <c:xVal>
            <c:numRef>
              <c:f>Model!$CU$5:$CU$6</c:f>
              <c:numCache>
                <c:formatCode>0.0</c:formatCode>
                <c:ptCount val="2"/>
                <c:pt idx="0">
                  <c:v>135</c:v>
                </c:pt>
                <c:pt idx="1">
                  <c:v>11.329823264812035</c:v>
                </c:pt>
              </c:numCache>
            </c:numRef>
          </c:xVal>
          <c:yVal>
            <c:numRef>
              <c:f>Model!$CV$5:$CV$6</c:f>
              <c:numCache>
                <c:formatCode>0.0</c:formatCode>
                <c:ptCount val="2"/>
                <c:pt idx="0">
                  <c:v>100</c:v>
                </c:pt>
                <c:pt idx="1">
                  <c:v>74.6308942714371</c:v>
                </c:pt>
              </c:numCache>
            </c:numRef>
          </c:yVal>
          <c:smooth val="1"/>
        </c:ser>
        <c:ser>
          <c:idx val="8"/>
          <c:order val="5"/>
          <c:tx>
            <c:strRef>
              <c:f>Model!$DA$3</c:f>
              <c:strCache>
                <c:ptCount val="1"/>
                <c:pt idx="0">
                  <c:v>Y Factor Price Ratio</c:v>
                </c:pt>
              </c:strCache>
            </c:strRef>
          </c:tx>
          <c:spPr>
            <a:ln w="12700"/>
          </c:spPr>
          <c:marker>
            <c:symbol val="none"/>
          </c:marker>
          <c:xVal>
            <c:numRef>
              <c:f>Model!$DA$5:$DA$6</c:f>
              <c:numCache>
                <c:formatCode>0.0</c:formatCode>
                <c:ptCount val="2"/>
                <c:pt idx="0">
                  <c:v>-10.494325570809167</c:v>
                </c:pt>
                <c:pt idx="1">
                  <c:v>135</c:v>
                </c:pt>
              </c:numCache>
            </c:numRef>
          </c:xVal>
          <c:yVal>
            <c:numRef>
              <c:f>Model!$DB$5:$DB$6</c:f>
              <c:numCache>
                <c:formatCode>0.0</c:formatCode>
                <c:ptCount val="2"/>
                <c:pt idx="0">
                  <c:v>100</c:v>
                </c:pt>
                <c:pt idx="1">
                  <c:v>-69.127371523752402</c:v>
                </c:pt>
              </c:numCache>
            </c:numRef>
          </c:yVal>
          <c:smooth val="1"/>
        </c:ser>
        <c:ser>
          <c:idx val="0"/>
          <c:order val="6"/>
          <c:tx>
            <c:v>Box Horizontal</c:v>
          </c:tx>
          <c:spPr>
            <a:ln w="25400">
              <a:solidFill>
                <a:srgbClr val="000000"/>
              </a:solidFill>
              <a:prstDash val="solid"/>
            </a:ln>
          </c:spPr>
          <c:marker>
            <c:symbol val="none"/>
          </c:marker>
          <c:xVal>
            <c:numRef>
              <c:f>Model!$CL$5:$CL$6</c:f>
              <c:numCache>
                <c:formatCode>0.0</c:formatCode>
                <c:ptCount val="2"/>
                <c:pt idx="0">
                  <c:v>0</c:v>
                </c:pt>
                <c:pt idx="1">
                  <c:v>135</c:v>
                </c:pt>
              </c:numCache>
            </c:numRef>
          </c:xVal>
          <c:yVal>
            <c:numRef>
              <c:f>Model!$CM$5:$CM$6</c:f>
              <c:numCache>
                <c:formatCode>0.0</c:formatCode>
                <c:ptCount val="2"/>
                <c:pt idx="0">
                  <c:v>100</c:v>
                </c:pt>
                <c:pt idx="1">
                  <c:v>100</c:v>
                </c:pt>
              </c:numCache>
            </c:numRef>
          </c:yVal>
          <c:smooth val="1"/>
        </c:ser>
        <c:ser>
          <c:idx val="3"/>
          <c:order val="7"/>
          <c:tx>
            <c:v>Box Vertical</c:v>
          </c:tx>
          <c:spPr>
            <a:ln w="25400">
              <a:solidFill>
                <a:srgbClr val="000000"/>
              </a:solidFill>
              <a:prstDash val="solid"/>
            </a:ln>
          </c:spPr>
          <c:marker>
            <c:symbol val="none"/>
          </c:marker>
          <c:xVal>
            <c:numRef>
              <c:f>Model!$CO$5:$CO$6</c:f>
              <c:numCache>
                <c:formatCode>0.0</c:formatCode>
                <c:ptCount val="2"/>
                <c:pt idx="0">
                  <c:v>135</c:v>
                </c:pt>
                <c:pt idx="1">
                  <c:v>135</c:v>
                </c:pt>
              </c:numCache>
            </c:numRef>
          </c:xVal>
          <c:yVal>
            <c:numRef>
              <c:f>Model!$CP$5:$CP$6</c:f>
              <c:numCache>
                <c:formatCode>0.0</c:formatCode>
                <c:ptCount val="2"/>
                <c:pt idx="0">
                  <c:v>0</c:v>
                </c:pt>
                <c:pt idx="1">
                  <c:v>100</c:v>
                </c:pt>
              </c:numCache>
            </c:numRef>
          </c:yVal>
          <c:smooth val="1"/>
        </c:ser>
        <c:ser>
          <c:idx val="4"/>
          <c:order val="8"/>
          <c:tx>
            <c:v>Efficiency Locus</c:v>
          </c:tx>
          <c:spPr>
            <a:ln w="12700">
              <a:solidFill>
                <a:srgbClr val="008000"/>
              </a:solidFill>
              <a:prstDash val="solid"/>
            </a:ln>
          </c:spPr>
          <c:marker>
            <c:symbol val="none"/>
          </c:marker>
          <c:xVal>
            <c:numRef>
              <c:f>Model!$DN$5:$DN$40</c:f>
              <c:numCache>
                <c:formatCode>0.0</c:formatCode>
                <c:ptCount val="36"/>
                <c:pt idx="0">
                  <c:v>0</c:v>
                </c:pt>
                <c:pt idx="1">
                  <c:v>1.9416629201800588</c:v>
                </c:pt>
                <c:pt idx="2">
                  <c:v>4.0841520953932458</c:v>
                </c:pt>
                <c:pt idx="3">
                  <c:v>6.4049824344622062</c:v>
                </c:pt>
                <c:pt idx="4">
                  <c:v>8.8874895881233105</c:v>
                </c:pt>
                <c:pt idx="5">
                  <c:v>11.518704363574006</c:v>
                </c:pt>
                <c:pt idx="6">
                  <c:v>14.288174092449873</c:v>
                </c:pt>
                <c:pt idx="7">
                  <c:v>17.187249665828453</c:v>
                </c:pt>
                <c:pt idx="8">
                  <c:v>20.208625775341609</c:v>
                </c:pt>
                <c:pt idx="9">
                  <c:v>23.346029494971798</c:v>
                </c:pt>
                <c:pt idx="10">
                  <c:v>26.594000938590497</c:v>
                </c:pt>
                <c:pt idx="11">
                  <c:v>29.947733773267807</c:v>
                </c:pt>
                <c:pt idx="12">
                  <c:v>33.402956145343204</c:v>
                </c:pt>
                <c:pt idx="13">
                  <c:v>36.955839769203962</c:v>
                </c:pt>
                <c:pt idx="14">
                  <c:v>40.602929176157943</c:v>
                </c:pt>
                <c:pt idx="15">
                  <c:v>44.341085731829615</c:v>
                </c:pt>
                <c:pt idx="16">
                  <c:v>48.167442691733122</c:v>
                </c:pt>
                <c:pt idx="17">
                  <c:v>52.079368653503543</c:v>
                </c:pt>
                <c:pt idx="18">
                  <c:v>56.074437496724371</c:v>
                </c:pt>
                <c:pt idx="19">
                  <c:v>60.150403405445786</c:v>
                </c:pt>
                <c:pt idx="20">
                  <c:v>64.305179922650979</c:v>
                </c:pt>
                <c:pt idx="21">
                  <c:v>68.536822239307597</c:v>
                </c:pt>
                <c:pt idx="22">
                  <c:v>72.843512104915973</c:v>
                </c:pt>
                <c:pt idx="23">
                  <c:v>77.223544882498416</c:v>
                </c:pt>
                <c:pt idx="24">
                  <c:v>81.675318372756536</c:v>
                </c:pt>
                <c:pt idx="25">
                  <c:v>86.197323109232485</c:v>
                </c:pt>
                <c:pt idx="26">
                  <c:v>90.788133885389726</c:v>
                </c:pt>
                <c:pt idx="27">
                  <c:v>95.446402320273549</c:v>
                </c:pt>
                <c:pt idx="28">
                  <c:v>100.17085030517281</c:v>
                </c:pt>
                <c:pt idx="29">
                  <c:v>104.96026420191194</c:v>
                </c:pt>
                <c:pt idx="30">
                  <c:v>109.81348968583994</c:v>
                </c:pt>
                <c:pt idx="31">
                  <c:v>114.72942714456889</c:v>
                </c:pt>
                <c:pt idx="32">
                  <c:v>119.70702755803295</c:v>
                </c:pt>
                <c:pt idx="33">
                  <c:v>124.74528879724494</c:v>
                </c:pt>
                <c:pt idx="34">
                  <c:v>129.84325228878492</c:v>
                </c:pt>
                <c:pt idx="35">
                  <c:v>135</c:v>
                </c:pt>
              </c:numCache>
            </c:numRef>
          </c:xVal>
          <c:yVal>
            <c:numRef>
              <c:f>Model!$DP$5:$DP$40</c:f>
              <c:numCache>
                <c:formatCode>0.0</c:formatCode>
                <c:ptCount val="36"/>
                <c:pt idx="0">
                  <c:v>0</c:v>
                </c:pt>
                <c:pt idx="1">
                  <c:v>31.907178846296127</c:v>
                </c:pt>
                <c:pt idx="2">
                  <c:v>50.04403793308034</c:v>
                </c:pt>
                <c:pt idx="3">
                  <c:v>61.52915003918649</c:v>
                </c:pt>
                <c:pt idx="4">
                  <c:v>69.352950258724505</c:v>
                </c:pt>
                <c:pt idx="5">
                  <c:v>74.971344880597655</c:v>
                </c:pt>
                <c:pt idx="6">
                  <c:v>79.170412842888908</c:v>
                </c:pt>
                <c:pt idx="7">
                  <c:v>82.408509605792943</c:v>
                </c:pt>
                <c:pt idx="8">
                  <c:v>84.969300771291529</c:v>
                </c:pt>
                <c:pt idx="9">
                  <c:v>87.036890870666895</c:v>
                </c:pt>
                <c:pt idx="10">
                  <c:v>88.735504958262823</c:v>
                </c:pt>
                <c:pt idx="11">
                  <c:v>90.151724949189571</c:v>
                </c:pt>
                <c:pt idx="12">
                  <c:v>91.347574744228694</c:v>
                </c:pt>
                <c:pt idx="13">
                  <c:v>92.36854374676777</c:v>
                </c:pt>
                <c:pt idx="14">
                  <c:v>93.24868262591994</c:v>
                </c:pt>
                <c:pt idx="15">
                  <c:v>94.013939410314705</c:v>
                </c:pt>
                <c:pt idx="16">
                  <c:v>94.684402228746279</c:v>
                </c:pt>
                <c:pt idx="17">
                  <c:v>95.275842649151102</c:v>
                </c:pt>
                <c:pt idx="18">
                  <c:v>95.800799974532779</c:v>
                </c:pt>
                <c:pt idx="19">
                  <c:v>96.269357282723931</c:v>
                </c:pt>
                <c:pt idx="20">
                  <c:v>96.689706181843306</c:v>
                </c:pt>
                <c:pt idx="21">
                  <c:v>97.068564049300448</c:v>
                </c:pt>
                <c:pt idx="22">
                  <c:v>97.411486539276027</c:v>
                </c:pt>
                <c:pt idx="23">
                  <c:v>97.723104593753803</c:v>
                </c:pt>
                <c:pt idx="24">
                  <c:v>98.007306268597901</c:v>
                </c:pt>
                <c:pt idx="25">
                  <c:v>98.267377702928187</c:v>
                </c:pt>
                <c:pt idx="26">
                  <c:v>98.506113481768523</c:v>
                </c:pt>
                <c:pt idx="27">
                  <c:v>98.725903819728956</c:v>
                </c:pt>
                <c:pt idx="28">
                  <c:v>98.928804013000629</c:v>
                </c:pt>
                <c:pt idx="29">
                  <c:v>99.116590199037972</c:v>
                </c:pt>
                <c:pt idx="30">
                  <c:v>99.290804450336452</c:v>
                </c:pt>
                <c:pt idx="31">
                  <c:v>99.452791491692395</c:v>
                </c:pt>
                <c:pt idx="32">
                  <c:v>99.603728788446404</c:v>
                </c:pt>
                <c:pt idx="33">
                  <c:v>99.744651350884723</c:v>
                </c:pt>
                <c:pt idx="34">
                  <c:v>99.876472298504638</c:v>
                </c:pt>
                <c:pt idx="35">
                  <c:v>100</c:v>
                </c:pt>
              </c:numCache>
            </c:numRef>
          </c:yVal>
          <c:smooth val="1"/>
        </c:ser>
        <c:axId val="165782656"/>
        <c:axId val="165784576"/>
      </c:scatterChart>
      <c:valAx>
        <c:axId val="165782656"/>
        <c:scaling>
          <c:orientation val="minMax"/>
          <c:max val="150"/>
          <c:min val="0"/>
        </c:scaling>
        <c:axPos val="b"/>
        <c:title>
          <c:tx>
            <c:rich>
              <a:bodyPr/>
              <a:lstStyle/>
              <a:p>
                <a:pPr>
                  <a:defRPr sz="975" b="1" i="0" u="none" strike="noStrike" baseline="0">
                    <a:solidFill>
                      <a:srgbClr val="000000"/>
                    </a:solidFill>
                    <a:latin typeface="Arial"/>
                    <a:ea typeface="Arial"/>
                    <a:cs typeface="Arial"/>
                  </a:defRPr>
                </a:pPr>
                <a:r>
                  <a:rPr lang="en-US"/>
                  <a:t>Labor (X measured from origin)</a:t>
                </a:r>
              </a:p>
            </c:rich>
          </c:tx>
          <c:layout>
            <c:manualLayout>
              <c:xMode val="edge"/>
              <c:yMode val="edge"/>
              <c:x val="0.31896561006797236"/>
              <c:y val="0.94327739575539471"/>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65784576"/>
        <c:crosses val="autoZero"/>
        <c:crossBetween val="midCat"/>
        <c:majorUnit val="25"/>
      </c:valAx>
      <c:valAx>
        <c:axId val="165784576"/>
        <c:scaling>
          <c:orientation val="minMax"/>
          <c:max val="150"/>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Capital (X measured from origin)</a:t>
                </a:r>
              </a:p>
            </c:rich>
          </c:tx>
          <c:layout>
            <c:manualLayout>
              <c:xMode val="edge"/>
              <c:yMode val="edge"/>
              <c:x val="1.0775736366287548E-2"/>
              <c:y val="0.28571418391705572"/>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65782656"/>
        <c:crosses val="autoZero"/>
        <c:crossBetween val="midCat"/>
        <c:majorUnit val="25"/>
      </c:valAx>
      <c:spPr>
        <a:solidFill>
          <a:srgbClr val="FFFFFF"/>
        </a:solidFill>
        <a:ln w="25400">
          <a:noFill/>
        </a:ln>
      </c:spPr>
    </c:plotArea>
    <c:legend>
      <c:legendPos val="r"/>
      <c:legendEntry>
        <c:idx val="6"/>
        <c:delete val="1"/>
      </c:legendEntry>
      <c:legendEntry>
        <c:idx val="7"/>
        <c:delete val="1"/>
      </c:legendEntry>
      <c:layout>
        <c:manualLayout>
          <c:xMode val="edge"/>
          <c:yMode val="edge"/>
          <c:x val="3.4188034188034191E-2"/>
          <c:y val="1.6806688756665605E-2"/>
          <c:w val="0.93376270273908069"/>
          <c:h val="8.6134368950487566E-2"/>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2715517241379307"/>
          <c:y val="9.8739495798319435E-2"/>
          <c:w val="0.8125"/>
          <c:h val="0.77521008403361369"/>
        </c:manualLayout>
      </c:layout>
      <c:scatterChart>
        <c:scatterStyle val="smoothMarker"/>
        <c:ser>
          <c:idx val="0"/>
          <c:order val="0"/>
          <c:tx>
            <c:v>Offer Curve</c:v>
          </c:tx>
          <c:spPr>
            <a:ln w="12700">
              <a:solidFill>
                <a:srgbClr val="FF00FF"/>
              </a:solidFill>
              <a:prstDash val="solid"/>
            </a:ln>
          </c:spPr>
          <c:marker>
            <c:symbol val="none"/>
          </c:marker>
          <c:xVal>
            <c:numRef>
              <c:f>Model!$EU$5:$EU$40</c:f>
              <c:numCache>
                <c:formatCode>0.0</c:formatCode>
                <c:ptCount val="36"/>
                <c:pt idx="0">
                  <c:v>-403.20036780903331</c:v>
                </c:pt>
                <c:pt idx="1">
                  <c:v>-282.21132688245092</c:v>
                </c:pt>
                <c:pt idx="2">
                  <c:v>-209.38333785541928</c:v>
                </c:pt>
                <c:pt idx="3">
                  <c:v>-160.99264517028593</c:v>
                </c:pt>
                <c:pt idx="4">
                  <c:v>-126.61244247210813</c:v>
                </c:pt>
                <c:pt idx="5">
                  <c:v>-100.97272384636439</c:v>
                </c:pt>
                <c:pt idx="6">
                  <c:v>-81.135047808650086</c:v>
                </c:pt>
                <c:pt idx="7">
                  <c:v>-65.336778120292763</c:v>
                </c:pt>
                <c:pt idx="8">
                  <c:v>-52.458969201986207</c:v>
                </c:pt>
                <c:pt idx="9">
                  <c:v>-41.758413298094425</c:v>
                </c:pt>
                <c:pt idx="10">
                  <c:v>-32.722849568817736</c:v>
                </c:pt>
                <c:pt idx="11">
                  <c:v>-24.988128880493647</c:v>
                </c:pt>
                <c:pt idx="12">
                  <c:v>-18.288532284196265</c:v>
                </c:pt>
                <c:pt idx="13">
                  <c:v>-12.425765683470232</c:v>
                </c:pt>
                <c:pt idx="14">
                  <c:v>-7.2489419037411693</c:v>
                </c:pt>
                <c:pt idx="15">
                  <c:v>-2.6412717303426234</c:v>
                </c:pt>
                <c:pt idx="16">
                  <c:v>1.4890142477303527</c:v>
                </c:pt>
                <c:pt idx="17">
                  <c:v>5.214999333601952</c:v>
                </c:pt>
                <c:pt idx="18">
                  <c:v>8.5955891497065124</c:v>
                </c:pt>
                <c:pt idx="19">
                  <c:v>11.678778866714211</c:v>
                </c:pt>
                <c:pt idx="20">
                  <c:v>14.504059444543358</c:v>
                </c:pt>
                <c:pt idx="21">
                  <c:v>17.104215820096755</c:v>
                </c:pt>
                <c:pt idx="22">
                  <c:v>19.506688635974996</c:v>
                </c:pt>
                <c:pt idx="23">
                  <c:v>21.734618010706811</c:v>
                </c:pt>
                <c:pt idx="24">
                  <c:v>23.807652522973484</c:v>
                </c:pt>
                <c:pt idx="25">
                  <c:v>25.742582659547878</c:v>
                </c:pt>
                <c:pt idx="26">
                  <c:v>27.553841514649108</c:v>
                </c:pt>
                <c:pt idx="27">
                  <c:v>29.253904031566734</c:v>
                </c:pt>
                <c:pt idx="28">
                  <c:v>30.853607937752471</c:v>
                </c:pt>
                <c:pt idx="29">
                  <c:v>32.362413688418158</c:v>
                </c:pt>
                <c:pt idx="30">
                  <c:v>33.788616499660961</c:v>
                </c:pt>
                <c:pt idx="31">
                  <c:v>35.13952044663651</c:v>
                </c:pt>
                <c:pt idx="32">
                  <c:v>36.421582301114626</c:v>
                </c:pt>
                <c:pt idx="33">
                  <c:v>37.640531061184248</c:v>
                </c:pt>
                <c:pt idx="34">
                  <c:v>38.801467826310926</c:v>
                </c:pt>
                <c:pt idx="35">
                  <c:v>39.908949681641644</c:v>
                </c:pt>
              </c:numCache>
            </c:numRef>
          </c:xVal>
          <c:yVal>
            <c:numRef>
              <c:f>Model!$EV$5:$EV$40</c:f>
              <c:numCache>
                <c:formatCode>0.0</c:formatCode>
                <c:ptCount val="36"/>
                <c:pt idx="0">
                  <c:v>-147.71520138498619</c:v>
                </c:pt>
                <c:pt idx="1">
                  <c:v>-133.93793799557361</c:v>
                </c:pt>
                <c:pt idx="2">
                  <c:v>-122.03830838527854</c:v>
                </c:pt>
                <c:pt idx="3">
                  <c:v>-111.26058056485934</c:v>
                </c:pt>
                <c:pt idx="4">
                  <c:v>-101.20586206736141</c:v>
                </c:pt>
                <c:pt idx="5">
                  <c:v>-91.640883999437392</c:v>
                </c:pt>
                <c:pt idx="6">
                  <c:v>-82.419037706160665</c:v>
                </c:pt>
                <c:pt idx="7">
                  <c:v>-73.443118535017476</c:v>
                </c:pt>
                <c:pt idx="8">
                  <c:v>-64.645966881907128</c:v>
                </c:pt>
                <c:pt idx="9">
                  <c:v>-55.97964213161363</c:v>
                </c:pt>
                <c:pt idx="10">
                  <c:v>-47.409007202290951</c:v>
                </c:pt>
                <c:pt idx="11">
                  <c:v>-38.907744016955093</c:v>
                </c:pt>
                <c:pt idx="12">
                  <c:v>-30.455780747060089</c:v>
                </c:pt>
                <c:pt idx="13">
                  <c:v>-22.037575414237168</c:v>
                </c:pt>
                <c:pt idx="14">
                  <c:v>-13.64093841435168</c:v>
                </c:pt>
                <c:pt idx="15">
                  <c:v>-5.2562050619233389</c:v>
                </c:pt>
                <c:pt idx="16">
                  <c:v>3.124358232454</c:v>
                </c:pt>
                <c:pt idx="17">
                  <c:v>11.506988061035841</c:v>
                </c:pt>
                <c:pt idx="18">
                  <c:v>19.896746590834098</c:v>
                </c:pt>
                <c:pt idx="19">
                  <c:v>28.297764784823528</c:v>
                </c:pt>
                <c:pt idx="20">
                  <c:v>36.713428208214395</c:v>
                </c:pt>
                <c:pt idx="21">
                  <c:v>45.146520657942922</c:v>
                </c:pt>
                <c:pt idx="22">
                  <c:v>53.599336381970147</c:v>
                </c:pt>
                <c:pt idx="23">
                  <c:v>62.073768613495517</c:v>
                </c:pt>
                <c:pt idx="24">
                  <c:v>70.571380041145375</c:v>
                </c:pt>
                <c:pt idx="25">
                  <c:v>79.093459357987953</c:v>
                </c:pt>
                <c:pt idx="26">
                  <c:v>87.641066978914168</c:v>
                </c:pt>
                <c:pt idx="27">
                  <c:v>96.215072255547327</c:v>
                </c:pt>
                <c:pt idx="28">
                  <c:v>104.81618396229341</c:v>
                </c:pt>
                <c:pt idx="29">
                  <c:v>113.44497541671272</c:v>
                </c:pt>
                <c:pt idx="30">
                  <c:v>122.1019052910305</c:v>
                </c:pt>
                <c:pt idx="31">
                  <c:v>130.78733494071261</c:v>
                </c:pt>
                <c:pt idx="32">
                  <c:v>139.50154290044378</c:v>
                </c:pt>
                <c:pt idx="33">
                  <c:v>148.24473706321092</c:v>
                </c:pt>
                <c:pt idx="34">
                  <c:v>157.0170649541318</c:v>
                </c:pt>
                <c:pt idx="35">
                  <c:v>165.81862242963732</c:v>
                </c:pt>
              </c:numCache>
            </c:numRef>
          </c:yVal>
          <c:smooth val="1"/>
        </c:ser>
        <c:ser>
          <c:idx val="1"/>
          <c:order val="1"/>
          <c:tx>
            <c:v>Price Line</c:v>
          </c:tx>
          <c:spPr>
            <a:ln w="12700">
              <a:solidFill>
                <a:srgbClr val="000000"/>
              </a:solidFill>
              <a:prstDash val="solid"/>
            </a:ln>
          </c:spPr>
          <c:marker>
            <c:symbol val="none"/>
          </c:marker>
          <c:dPt>
            <c:idx val="1"/>
            <c:marker>
              <c:symbol val="circle"/>
              <c:size val="5"/>
              <c:spPr>
                <a:solidFill>
                  <a:sysClr val="windowText" lastClr="000000"/>
                </a:solidFill>
                <a:ln>
                  <a:noFill/>
                </a:ln>
              </c:spPr>
            </c:marker>
          </c:dPt>
          <c:xVal>
            <c:numRef>
              <c:f>Model!$EW$5:$EW$6</c:f>
              <c:numCache>
                <c:formatCode>0.0</c:formatCode>
                <c:ptCount val="2"/>
                <c:pt idx="0">
                  <c:v>0</c:v>
                </c:pt>
                <c:pt idx="1">
                  <c:v>-102.55355282536165</c:v>
                </c:pt>
              </c:numCache>
            </c:numRef>
          </c:xVal>
          <c:yVal>
            <c:numRef>
              <c:f>Model!$EX$5:$EX$6</c:f>
              <c:numCache>
                <c:formatCode>0.0</c:formatCode>
                <c:ptCount val="2"/>
                <c:pt idx="0">
                  <c:v>0</c:v>
                </c:pt>
                <c:pt idx="1">
                  <c:v>-92.298197542825477</c:v>
                </c:pt>
              </c:numCache>
            </c:numRef>
          </c:yVal>
          <c:smooth val="1"/>
        </c:ser>
        <c:ser>
          <c:idx val="2"/>
          <c:order val="2"/>
          <c:tx>
            <c:v>Distorted Offer</c:v>
          </c:tx>
          <c:spPr>
            <a:ln w="12700"/>
          </c:spPr>
          <c:marker>
            <c:symbol val="none"/>
          </c:marker>
          <c:xVal>
            <c:numRef>
              <c:f>Model!$EU$46:$EU$74</c:f>
              <c:numCache>
                <c:formatCode>0.0</c:formatCode>
                <c:ptCount val="29"/>
                <c:pt idx="0">
                  <c:v>-403.20036780903331</c:v>
                </c:pt>
                <c:pt idx="1">
                  <c:v>-282.21132688245092</c:v>
                </c:pt>
                <c:pt idx="2">
                  <c:v>-209.38333785541928</c:v>
                </c:pt>
                <c:pt idx="3">
                  <c:v>-160.99264517028593</c:v>
                </c:pt>
                <c:pt idx="4">
                  <c:v>-126.61244247210813</c:v>
                </c:pt>
                <c:pt idx="5">
                  <c:v>-100.97272384636439</c:v>
                </c:pt>
                <c:pt idx="6">
                  <c:v>-81.135047808650086</c:v>
                </c:pt>
                <c:pt idx="7">
                  <c:v>-65.336778120292763</c:v>
                </c:pt>
                <c:pt idx="8">
                  <c:v>-52.458969201986207</c:v>
                </c:pt>
                <c:pt idx="9">
                  <c:v>-41.758413298094425</c:v>
                </c:pt>
                <c:pt idx="10">
                  <c:v>-32.722849568817736</c:v>
                </c:pt>
                <c:pt idx="11">
                  <c:v>-24.988128880493647</c:v>
                </c:pt>
                <c:pt idx="12">
                  <c:v>-18.288532284196265</c:v>
                </c:pt>
                <c:pt idx="13">
                  <c:v>-12.425765683470232</c:v>
                </c:pt>
                <c:pt idx="14">
                  <c:v>-7.2489419037411693</c:v>
                </c:pt>
                <c:pt idx="15">
                  <c:v>-2.6412717303426234</c:v>
                </c:pt>
                <c:pt idx="16">
                  <c:v>1.4890142477303527</c:v>
                </c:pt>
                <c:pt idx="17">
                  <c:v>5.214999333601952</c:v>
                </c:pt>
                <c:pt idx="18">
                  <c:v>8.5955891497065124</c:v>
                </c:pt>
                <c:pt idx="19">
                  <c:v>11.678778866714211</c:v>
                </c:pt>
                <c:pt idx="20">
                  <c:v>14.504059444543358</c:v>
                </c:pt>
                <c:pt idx="21">
                  <c:v>17.104215820096755</c:v>
                </c:pt>
                <c:pt idx="22">
                  <c:v>19.506688635974996</c:v>
                </c:pt>
                <c:pt idx="23">
                  <c:v>21.734618010706811</c:v>
                </c:pt>
                <c:pt idx="24">
                  <c:v>23.807652522973484</c:v>
                </c:pt>
                <c:pt idx="25">
                  <c:v>25.742582659547878</c:v>
                </c:pt>
                <c:pt idx="26">
                  <c:v>27.553841514649108</c:v>
                </c:pt>
                <c:pt idx="27">
                  <c:v>29.253904031566734</c:v>
                </c:pt>
                <c:pt idx="28">
                  <c:v>30.853607937752471</c:v>
                </c:pt>
              </c:numCache>
            </c:numRef>
          </c:xVal>
          <c:yVal>
            <c:numRef>
              <c:f>Model!$EV$46:$EV$74</c:f>
              <c:numCache>
                <c:formatCode>0.0</c:formatCode>
                <c:ptCount val="29"/>
                <c:pt idx="0">
                  <c:v>-147.71520138498619</c:v>
                </c:pt>
                <c:pt idx="1">
                  <c:v>-133.93793799557361</c:v>
                </c:pt>
                <c:pt idx="2">
                  <c:v>-122.03830838527854</c:v>
                </c:pt>
                <c:pt idx="3">
                  <c:v>-111.26058056485934</c:v>
                </c:pt>
                <c:pt idx="4">
                  <c:v>-101.20586206736141</c:v>
                </c:pt>
                <c:pt idx="5">
                  <c:v>-91.640883999437392</c:v>
                </c:pt>
                <c:pt idx="6">
                  <c:v>-82.419037706160665</c:v>
                </c:pt>
                <c:pt idx="7">
                  <c:v>-73.443118535017476</c:v>
                </c:pt>
                <c:pt idx="8">
                  <c:v>-64.645966881907128</c:v>
                </c:pt>
                <c:pt idx="9">
                  <c:v>-55.97964213161363</c:v>
                </c:pt>
                <c:pt idx="10">
                  <c:v>-47.409007202290951</c:v>
                </c:pt>
                <c:pt idx="11">
                  <c:v>-38.907744016955093</c:v>
                </c:pt>
                <c:pt idx="12">
                  <c:v>-30.455780747060089</c:v>
                </c:pt>
                <c:pt idx="13">
                  <c:v>-22.037575414237168</c:v>
                </c:pt>
                <c:pt idx="14">
                  <c:v>-13.64093841435168</c:v>
                </c:pt>
                <c:pt idx="15">
                  <c:v>-5.2562050619233389</c:v>
                </c:pt>
                <c:pt idx="16">
                  <c:v>3.124358232454</c:v>
                </c:pt>
                <c:pt idx="17">
                  <c:v>11.506988061035841</c:v>
                </c:pt>
                <c:pt idx="18">
                  <c:v>19.896746590834098</c:v>
                </c:pt>
                <c:pt idx="19">
                  <c:v>28.297764784823528</c:v>
                </c:pt>
                <c:pt idx="20">
                  <c:v>36.713428208214395</c:v>
                </c:pt>
                <c:pt idx="21">
                  <c:v>45.146520657942922</c:v>
                </c:pt>
                <c:pt idx="22">
                  <c:v>53.599336381970147</c:v>
                </c:pt>
                <c:pt idx="23">
                  <c:v>62.073768613495517</c:v>
                </c:pt>
                <c:pt idx="24">
                  <c:v>70.571380041145375</c:v>
                </c:pt>
                <c:pt idx="25">
                  <c:v>79.093459357987953</c:v>
                </c:pt>
                <c:pt idx="26">
                  <c:v>87.641066978914168</c:v>
                </c:pt>
                <c:pt idx="27">
                  <c:v>96.215072255547327</c:v>
                </c:pt>
                <c:pt idx="28">
                  <c:v>104.81618396229341</c:v>
                </c:pt>
              </c:numCache>
            </c:numRef>
          </c:yVal>
          <c:smooth val="1"/>
        </c:ser>
        <c:axId val="158483968"/>
        <c:axId val="158485888"/>
      </c:scatterChart>
      <c:valAx>
        <c:axId val="158483968"/>
        <c:scaling>
          <c:orientation val="minMax"/>
          <c:max val="125"/>
          <c:min val="-125"/>
        </c:scaling>
        <c:axPos val="b"/>
        <c:title>
          <c:tx>
            <c:rich>
              <a:bodyPr/>
              <a:lstStyle/>
              <a:p>
                <a:pPr>
                  <a:defRPr sz="975" b="1" i="0" u="none" strike="noStrike" baseline="0">
                    <a:solidFill>
                      <a:srgbClr val="000000"/>
                    </a:solidFill>
                    <a:latin typeface="Arial"/>
                    <a:ea typeface="Arial"/>
                    <a:cs typeface="Arial"/>
                  </a:defRPr>
                </a:pPr>
                <a:r>
                  <a:rPr lang="en-US"/>
                  <a:t>Net Exports of X</a:t>
                </a:r>
              </a:p>
            </c:rich>
          </c:tx>
          <c:layout>
            <c:manualLayout>
              <c:xMode val="edge"/>
              <c:yMode val="edge"/>
              <c:x val="0.4202586206896553"/>
              <c:y val="0.93907554542107574"/>
            </c:manualLayout>
          </c:layout>
          <c:spPr>
            <a:noFill/>
            <a:ln w="25400">
              <a:noFill/>
            </a:ln>
          </c:spPr>
        </c:title>
        <c:numFmt formatCode="0" sourceLinked="0"/>
        <c:tickLblPos val="low"/>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58485888"/>
        <c:crosses val="autoZero"/>
        <c:crossBetween val="midCat"/>
        <c:majorUnit val="25"/>
      </c:valAx>
      <c:valAx>
        <c:axId val="158485888"/>
        <c:scaling>
          <c:orientation val="minMax"/>
          <c:max val="125"/>
          <c:min val="-125"/>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Net Imports of Y</a:t>
                </a:r>
              </a:p>
            </c:rich>
          </c:tx>
          <c:layout>
            <c:manualLayout>
              <c:xMode val="edge"/>
              <c:yMode val="edge"/>
              <c:x val="1.0775862068965521E-2"/>
              <c:y val="0.37605040320186228"/>
            </c:manualLayout>
          </c:layout>
          <c:spPr>
            <a:noFill/>
            <a:ln w="25400">
              <a:noFill/>
            </a:ln>
          </c:spPr>
        </c:title>
        <c:numFmt formatCode="0" sourceLinked="0"/>
        <c:tickLblPos val="low"/>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58483968"/>
        <c:crosses val="autoZero"/>
        <c:crossBetween val="midCat"/>
        <c:majorUnit val="25"/>
      </c:valAx>
      <c:spPr>
        <a:noFill/>
        <a:ln w="25400">
          <a:noFill/>
        </a:ln>
      </c:spPr>
    </c:plotArea>
    <c:legend>
      <c:legendPos val="r"/>
      <c:layout>
        <c:manualLayout>
          <c:xMode val="edge"/>
          <c:yMode val="edge"/>
          <c:x val="0.19181034482758624"/>
          <c:y val="1.4706001116376292E-2"/>
          <c:w val="0.6530172413793105"/>
          <c:h val="4.20168406550991E-2"/>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827981829598939"/>
          <c:y val="0.14705882352941185"/>
          <c:w val="0.8258081859210894"/>
          <c:h val="0.71218487394958052"/>
        </c:manualLayout>
      </c:layout>
      <c:scatterChart>
        <c:scatterStyle val="smoothMarker"/>
        <c:ser>
          <c:idx val="3"/>
          <c:order val="0"/>
          <c:tx>
            <c:v>X Unit Value Isoquant</c:v>
          </c:tx>
          <c:spPr>
            <a:ln w="12700">
              <a:solidFill>
                <a:srgbClr val="3366FF"/>
              </a:solidFill>
              <a:prstDash val="solid"/>
            </a:ln>
          </c:spPr>
          <c:marker>
            <c:symbol val="none"/>
          </c:marker>
          <c:xVal>
            <c:numRef>
              <c:f>Model!$AG$5:$AG$40</c:f>
              <c:numCache>
                <c:formatCode>0.0</c:formatCode>
                <c:ptCount val="36"/>
                <c:pt idx="0">
                  <c:v>2</c:v>
                </c:pt>
                <c:pt idx="1">
                  <c:v>1.3980012580558991</c:v>
                </c:pt>
                <c:pt idx="2">
                  <c:v>0.99823289963844486</c:v>
                </c:pt>
                <c:pt idx="3">
                  <c:v>0.72638159225858456</c:v>
                </c:pt>
                <c:pt idx="4">
                  <c:v>0.53756856648397011</c:v>
                </c:pt>
                <c:pt idx="5">
                  <c:v>0.40392298725346643</c:v>
                </c:pt>
                <c:pt idx="6">
                  <c:v>0.30769840953060135</c:v>
                </c:pt>
                <c:pt idx="7">
                  <c:v>0.23733805332142224</c:v>
                </c:pt>
                <c:pt idx="8">
                  <c:v>0.18516132364759239</c:v>
                </c:pt>
                <c:pt idx="9">
                  <c:v>0.14596847921424586</c:v>
                </c:pt>
                <c:pt idx="10">
                  <c:v>0.11617938698149737</c:v>
                </c:pt>
                <c:pt idx="11">
                  <c:v>9.3290610811119168E-2</c:v>
                </c:pt>
                <c:pt idx="12">
                  <c:v>7.5526503489010674E-2</c:v>
                </c:pt>
                <c:pt idx="13">
                  <c:v>6.1610965044159402E-2</c:v>
                </c:pt>
                <c:pt idx="14">
                  <c:v>5.0615673840995912E-2</c:v>
                </c:pt>
                <c:pt idx="15">
                  <c:v>4.1857629091656107E-2</c:v>
                </c:pt>
                <c:pt idx="16">
                  <c:v>3.4829004587001861E-2</c:v>
                </c:pt>
                <c:pt idx="17">
                  <c:v>2.9148492076461415E-2</c:v>
                </c:pt>
                <c:pt idx="18">
                  <c:v>2.4527136762075137E-2</c:v>
                </c:pt>
                <c:pt idx="19">
                  <c:v>2.074407338881671E-2</c:v>
                </c:pt>
                <c:pt idx="20">
                  <c:v>1.762910865971697E-2</c:v>
                </c:pt>
                <c:pt idx="21">
                  <c:v>1.5050092083263418E-2</c:v>
                </c:pt>
                <c:pt idx="22">
                  <c:v>1.2903671922600654E-2</c:v>
                </c:pt>
                <c:pt idx="23">
                  <c:v>1.1108468395193612E-2</c:v>
                </c:pt>
                <c:pt idx="24">
                  <c:v>9.5999894627173381E-3</c:v>
                </c:pt>
                <c:pt idx="25">
                  <c:v>8.3268141717032489E-3</c:v>
                </c:pt>
                <c:pt idx="26">
                  <c:v>7.2477058658764011E-3</c:v>
                </c:pt>
                <c:pt idx="27">
                  <c:v>6.3294130617565199E-3</c:v>
                </c:pt>
                <c:pt idx="28">
                  <c:v>5.5449827678193658E-3</c:v>
                </c:pt>
                <c:pt idx="29">
                  <c:v>4.8724584567527481E-3</c:v>
                </c:pt>
                <c:pt idx="30">
                  <c:v>4.2938687697740424E-3</c:v>
                </c:pt>
                <c:pt idx="31">
                  <c:v>3.7944374160456843E-3</c:v>
                </c:pt>
                <c:pt idx="32">
                  <c:v>3.3619624220662075E-3</c:v>
                </c:pt>
                <c:pt idx="33">
                  <c:v>2.9863258175148741E-3</c:v>
                </c:pt>
                <c:pt idx="34">
                  <c:v>2.6591043631837338E-3</c:v>
                </c:pt>
                <c:pt idx="35">
                  <c:v>2.3732589812847614E-3</c:v>
                </c:pt>
              </c:numCache>
            </c:numRef>
          </c:xVal>
          <c:yVal>
            <c:numRef>
              <c:f>Model!$AH$5:$AH$40</c:f>
              <c:numCache>
                <c:formatCode>0.0</c:formatCode>
                <c:ptCount val="36"/>
                <c:pt idx="0">
                  <c:v>0.60916180796569386</c:v>
                </c:pt>
                <c:pt idx="1">
                  <c:v>0.6489000420238169</c:v>
                </c:pt>
                <c:pt idx="2">
                  <c:v>0.68863827608193995</c:v>
                </c:pt>
                <c:pt idx="3">
                  <c:v>0.72837651014006299</c:v>
                </c:pt>
                <c:pt idx="4">
                  <c:v>0.76811474419818604</c:v>
                </c:pt>
                <c:pt idx="5">
                  <c:v>0.80785297825630908</c:v>
                </c:pt>
                <c:pt idx="6">
                  <c:v>0.84759121231443213</c:v>
                </c:pt>
                <c:pt idx="7">
                  <c:v>0.88732944637255518</c:v>
                </c:pt>
                <c:pt idx="8">
                  <c:v>0.92706768043067822</c:v>
                </c:pt>
                <c:pt idx="9">
                  <c:v>0.96680591448880127</c:v>
                </c:pt>
                <c:pt idx="10">
                  <c:v>1.0065441485469242</c:v>
                </c:pt>
                <c:pt idx="11">
                  <c:v>1.0462823826050471</c:v>
                </c:pt>
                <c:pt idx="12">
                  <c:v>1.0860206166631701</c:v>
                </c:pt>
                <c:pt idx="13">
                  <c:v>1.125758850721293</c:v>
                </c:pt>
                <c:pt idx="14">
                  <c:v>1.1654970847794159</c:v>
                </c:pt>
                <c:pt idx="15">
                  <c:v>1.2052353188375389</c:v>
                </c:pt>
                <c:pt idx="16">
                  <c:v>1.2449735528956618</c:v>
                </c:pt>
                <c:pt idx="17">
                  <c:v>1.2847117869537847</c:v>
                </c:pt>
                <c:pt idx="18">
                  <c:v>1.3244500210119077</c:v>
                </c:pt>
                <c:pt idx="19">
                  <c:v>1.3641882550700306</c:v>
                </c:pt>
                <c:pt idx="20">
                  <c:v>1.4039264891281535</c:v>
                </c:pt>
                <c:pt idx="21">
                  <c:v>1.4436647231862765</c:v>
                </c:pt>
                <c:pt idx="22">
                  <c:v>1.4834029572443994</c:v>
                </c:pt>
                <c:pt idx="23">
                  <c:v>1.5231411913025223</c:v>
                </c:pt>
                <c:pt idx="24">
                  <c:v>1.5628794253606453</c:v>
                </c:pt>
                <c:pt idx="25">
                  <c:v>1.6026176594187682</c:v>
                </c:pt>
                <c:pt idx="26">
                  <c:v>1.6423558934768911</c:v>
                </c:pt>
                <c:pt idx="27">
                  <c:v>1.6820941275350141</c:v>
                </c:pt>
                <c:pt idx="28">
                  <c:v>1.721832361593137</c:v>
                </c:pt>
                <c:pt idx="29">
                  <c:v>1.76157059565126</c:v>
                </c:pt>
                <c:pt idx="30">
                  <c:v>1.8013088297093829</c:v>
                </c:pt>
                <c:pt idx="31">
                  <c:v>1.8410470637675058</c:v>
                </c:pt>
                <c:pt idx="32">
                  <c:v>1.8807852978256288</c:v>
                </c:pt>
                <c:pt idx="33">
                  <c:v>1.9205235318837517</c:v>
                </c:pt>
                <c:pt idx="34">
                  <c:v>1.9602617659418746</c:v>
                </c:pt>
                <c:pt idx="35" formatCode="0.0_ ">
                  <c:v>2</c:v>
                </c:pt>
              </c:numCache>
            </c:numRef>
          </c:yVal>
          <c:smooth val="1"/>
        </c:ser>
        <c:ser>
          <c:idx val="1"/>
          <c:order val="1"/>
          <c:tx>
            <c:v>X Factor Intensity</c:v>
          </c:tx>
          <c:spPr>
            <a:ln w="12700">
              <a:solidFill>
                <a:srgbClr val="000080"/>
              </a:solidFill>
              <a:prstDash val="solid"/>
            </a:ln>
          </c:spPr>
          <c:marker>
            <c:symbol val="none"/>
          </c:marker>
          <c:dPt>
            <c:idx val="1"/>
            <c:marker>
              <c:symbol val="circle"/>
              <c:size val="5"/>
              <c:spPr>
                <a:solidFill>
                  <a:sysClr val="windowText" lastClr="000000"/>
                </a:solidFill>
                <a:ln>
                  <a:noFill/>
                </a:ln>
              </c:spPr>
            </c:marker>
          </c:dPt>
          <c:xVal>
            <c:numRef>
              <c:f>Model!$AS$5:$AS$6</c:f>
              <c:numCache>
                <c:formatCode>0.0</c:formatCode>
                <c:ptCount val="2"/>
                <c:pt idx="0">
                  <c:v>0</c:v>
                </c:pt>
                <c:pt idx="1">
                  <c:v>0.14665135583208569</c:v>
                </c:pt>
              </c:numCache>
            </c:numRef>
          </c:xVal>
          <c:yVal>
            <c:numRef>
              <c:f>Model!$AT$5:$AT$6</c:f>
              <c:numCache>
                <c:formatCode>0.0</c:formatCode>
                <c:ptCount val="2"/>
                <c:pt idx="0">
                  <c:v>0</c:v>
                </c:pt>
                <c:pt idx="1">
                  <c:v>0.9660099346703177</c:v>
                </c:pt>
              </c:numCache>
            </c:numRef>
          </c:yVal>
          <c:smooth val="1"/>
        </c:ser>
        <c:ser>
          <c:idx val="0"/>
          <c:order val="2"/>
          <c:tx>
            <c:v>X Unit Value Isocost</c:v>
          </c:tx>
          <c:spPr>
            <a:ln w="12700">
              <a:solidFill>
                <a:srgbClr val="000000"/>
              </a:solidFill>
              <a:prstDash val="solid"/>
            </a:ln>
          </c:spPr>
          <c:marker>
            <c:symbol val="none"/>
          </c:marker>
          <c:xVal>
            <c:numRef>
              <c:f>Model!$AM$5:$AM$6</c:f>
              <c:numCache>
                <c:formatCode>0.0</c:formatCode>
                <c:ptCount val="2"/>
                <c:pt idx="0">
                  <c:v>0.97767570554723771</c:v>
                </c:pt>
                <c:pt idx="1">
                  <c:v>0</c:v>
                </c:pt>
              </c:numCache>
            </c:numRef>
          </c:xVal>
          <c:yVal>
            <c:numRef>
              <c:f>Model!$AN$5:$AN$6</c:f>
              <c:numCache>
                <c:formatCode>0.0</c:formatCode>
                <c:ptCount val="2"/>
                <c:pt idx="0">
                  <c:v>0</c:v>
                </c:pt>
                <c:pt idx="1">
                  <c:v>1.1364822760827265</c:v>
                </c:pt>
              </c:numCache>
            </c:numRef>
          </c:yVal>
          <c:smooth val="1"/>
        </c:ser>
        <c:ser>
          <c:idx val="4"/>
          <c:order val="3"/>
          <c:tx>
            <c:v>Y Unit Value Isoquant</c:v>
          </c:tx>
          <c:spPr>
            <a:ln w="12700">
              <a:solidFill>
                <a:srgbClr val="FF00FF"/>
              </a:solidFill>
              <a:prstDash val="solid"/>
            </a:ln>
          </c:spPr>
          <c:marker>
            <c:symbol val="none"/>
          </c:marker>
          <c:xVal>
            <c:numRef>
              <c:f>Model!$AJ$5:$AJ$40</c:f>
              <c:numCache>
                <c:formatCode>0.0</c:formatCode>
                <c:ptCount val="36"/>
                <c:pt idx="0">
                  <c:v>2</c:v>
                </c:pt>
                <c:pt idx="1">
                  <c:v>1.0043064056418407</c:v>
                </c:pt>
                <c:pt idx="2">
                  <c:v>0.89026682792456802</c:v>
                </c:pt>
                <c:pt idx="3">
                  <c:v>0.82928916243648176</c:v>
                </c:pt>
                <c:pt idx="4">
                  <c:v>0.78847635487773982</c:v>
                </c:pt>
                <c:pt idx="5">
                  <c:v>0.75816796845061962</c:v>
                </c:pt>
                <c:pt idx="6">
                  <c:v>0.73425120147569123</c:v>
                </c:pt>
                <c:pt idx="7">
                  <c:v>0.71460816368962798</c:v>
                </c:pt>
                <c:pt idx="8">
                  <c:v>0.69801088850507809</c:v>
                </c:pt>
                <c:pt idx="9">
                  <c:v>0.6836867166547812</c:v>
                </c:pt>
                <c:pt idx="10">
                  <c:v>0.67111938533982618</c:v>
                </c:pt>
                <c:pt idx="11">
                  <c:v>0.65994768143886939</c:v>
                </c:pt>
                <c:pt idx="12">
                  <c:v>0.64990947608005567</c:v>
                </c:pt>
                <c:pt idx="13">
                  <c:v>0.64080881492546948</c:v>
                </c:pt>
                <c:pt idx="14">
                  <c:v>0.63249556280269748</c:v>
                </c:pt>
                <c:pt idx="15">
                  <c:v>0.62485227881017513</c:v>
                </c:pt>
                <c:pt idx="16">
                  <c:v>0.61778545337149837</c:v>
                </c:pt>
                <c:pt idx="17">
                  <c:v>0.61121948148497607</c:v>
                </c:pt>
                <c:pt idx="18">
                  <c:v>0.60509241053632856</c:v>
                </c:pt>
                <c:pt idx="19">
                  <c:v>0.59935287265646398</c:v>
                </c:pt>
                <c:pt idx="20">
                  <c:v>0.59395782793562213</c:v>
                </c:pt>
                <c:pt idx="21">
                  <c:v>0.5888708751441587</c:v>
                </c:pt>
                <c:pt idx="22">
                  <c:v>0.58406096754703174</c:v>
                </c:pt>
                <c:pt idx="23">
                  <c:v>0.5795014230202481</c:v>
                </c:pt>
                <c:pt idx="24">
                  <c:v>0.57516915139583502</c:v>
                </c:pt>
                <c:pt idx="25">
                  <c:v>0.57104404446287182</c:v>
                </c:pt>
                <c:pt idx="26">
                  <c:v>0.56710848936057157</c:v>
                </c:pt>
                <c:pt idx="27">
                  <c:v>0.56334697669880107</c:v>
                </c:pt>
                <c:pt idx="28">
                  <c:v>0.55974578219870397</c:v>
                </c:pt>
                <c:pt idx="29">
                  <c:v>0.55629270597010405</c:v>
                </c:pt>
                <c:pt idx="30">
                  <c:v>0.55297685739494251</c:v>
                </c:pt>
                <c:pt idx="31">
                  <c:v>0.54978847640861928</c:v>
                </c:pt>
                <c:pt idx="32">
                  <c:v>0.54671878406306063</c:v>
                </c:pt>
                <c:pt idx="33">
                  <c:v>0.54375985682238392</c:v>
                </c:pt>
                <c:pt idx="34">
                  <c:v>0.54090452022758562</c:v>
                </c:pt>
                <c:pt idx="35">
                  <c:v>0.53814625847199593</c:v>
                </c:pt>
              </c:numCache>
            </c:numRef>
          </c:xVal>
          <c:yVal>
            <c:numRef>
              <c:f>Model!$AK$5:$AK$40</c:f>
              <c:numCache>
                <c:formatCode>0.0</c:formatCode>
                <c:ptCount val="36"/>
                <c:pt idx="0">
                  <c:v>1.175696420638864E-3</c:v>
                </c:pt>
                <c:pt idx="1">
                  <c:v>5.828496223719204E-2</c:v>
                </c:pt>
                <c:pt idx="2">
                  <c:v>0.11539422805374522</c:v>
                </c:pt>
                <c:pt idx="3">
                  <c:v>0.1725034938702984</c:v>
                </c:pt>
                <c:pt idx="4">
                  <c:v>0.22961275968685158</c:v>
                </c:pt>
                <c:pt idx="5">
                  <c:v>0.28672202550340475</c:v>
                </c:pt>
                <c:pt idx="6">
                  <c:v>0.34383129131995793</c:v>
                </c:pt>
                <c:pt idx="7">
                  <c:v>0.40094055713651111</c:v>
                </c:pt>
                <c:pt idx="8">
                  <c:v>0.45804982295306429</c:v>
                </c:pt>
                <c:pt idx="9">
                  <c:v>0.51515908876961747</c:v>
                </c:pt>
                <c:pt idx="10">
                  <c:v>0.57226835458617065</c:v>
                </c:pt>
                <c:pt idx="11">
                  <c:v>0.62937762040272383</c:v>
                </c:pt>
                <c:pt idx="12">
                  <c:v>0.686486886219277</c:v>
                </c:pt>
                <c:pt idx="13">
                  <c:v>0.74359615203583018</c:v>
                </c:pt>
                <c:pt idx="14">
                  <c:v>0.80070541785238336</c:v>
                </c:pt>
                <c:pt idx="15">
                  <c:v>0.85781468366893654</c:v>
                </c:pt>
                <c:pt idx="16">
                  <c:v>0.91492394948548972</c:v>
                </c:pt>
                <c:pt idx="17">
                  <c:v>0.9720332153020429</c:v>
                </c:pt>
                <c:pt idx="18">
                  <c:v>1.0291424811185961</c:v>
                </c:pt>
                <c:pt idx="19">
                  <c:v>1.0862517469351491</c:v>
                </c:pt>
                <c:pt idx="20">
                  <c:v>1.1433610127517024</c:v>
                </c:pt>
                <c:pt idx="21">
                  <c:v>1.2004702785682557</c:v>
                </c:pt>
                <c:pt idx="22">
                  <c:v>1.257579544384809</c:v>
                </c:pt>
                <c:pt idx="23">
                  <c:v>1.3146888102013623</c:v>
                </c:pt>
                <c:pt idx="24">
                  <c:v>1.3717980760179156</c:v>
                </c:pt>
                <c:pt idx="25">
                  <c:v>1.4289073418344689</c:v>
                </c:pt>
                <c:pt idx="26">
                  <c:v>1.4860166076510222</c:v>
                </c:pt>
                <c:pt idx="27">
                  <c:v>1.5431258734675755</c:v>
                </c:pt>
                <c:pt idx="28">
                  <c:v>1.6002351392841287</c:v>
                </c:pt>
                <c:pt idx="29">
                  <c:v>1.657344405100682</c:v>
                </c:pt>
                <c:pt idx="30">
                  <c:v>1.7144536709172353</c:v>
                </c:pt>
                <c:pt idx="31">
                  <c:v>1.7715629367337886</c:v>
                </c:pt>
                <c:pt idx="32">
                  <c:v>1.8286722025503419</c:v>
                </c:pt>
                <c:pt idx="33">
                  <c:v>1.8857814683668952</c:v>
                </c:pt>
                <c:pt idx="34">
                  <c:v>1.9428907341834485</c:v>
                </c:pt>
                <c:pt idx="35" formatCode="0.0_ ">
                  <c:v>2</c:v>
                </c:pt>
              </c:numCache>
            </c:numRef>
          </c:yVal>
          <c:smooth val="1"/>
        </c:ser>
        <c:ser>
          <c:idx val="2"/>
          <c:order val="4"/>
          <c:tx>
            <c:v>Y Factor Intensity</c:v>
          </c:tx>
          <c:spPr>
            <a:ln w="12700">
              <a:solidFill>
                <a:srgbClr val="800000"/>
              </a:solidFill>
              <a:prstDash val="solid"/>
            </a:ln>
          </c:spPr>
          <c:marker>
            <c:symbol val="none"/>
          </c:marker>
          <c:dPt>
            <c:idx val="1"/>
            <c:marker>
              <c:symbol val="circle"/>
              <c:size val="5"/>
              <c:spPr>
                <a:solidFill>
                  <a:sysClr val="windowText" lastClr="000000"/>
                </a:solidFill>
                <a:ln>
                  <a:noFill/>
                </a:ln>
              </c:spPr>
            </c:marker>
          </c:dPt>
          <c:xVal>
            <c:numRef>
              <c:f>Model!$AV$5:$AV$6</c:f>
              <c:numCache>
                <c:formatCode>0.0</c:formatCode>
                <c:ptCount val="2"/>
                <c:pt idx="0">
                  <c:v>0</c:v>
                </c:pt>
                <c:pt idx="1">
                  <c:v>0.83102434971515315</c:v>
                </c:pt>
              </c:numCache>
            </c:numRef>
          </c:xVal>
          <c:yVal>
            <c:numRef>
              <c:f>Model!$AW$5:$AW$6</c:f>
              <c:numCache>
                <c:formatCode>0.0</c:formatCode>
                <c:ptCount val="2"/>
                <c:pt idx="0">
                  <c:v>0</c:v>
                </c:pt>
                <c:pt idx="1">
                  <c:v>0.17047234141240919</c:v>
                </c:pt>
              </c:numCache>
            </c:numRef>
          </c:yVal>
          <c:smooth val="1"/>
        </c:ser>
        <c:ser>
          <c:idx val="5"/>
          <c:order val="5"/>
          <c:tx>
            <c:strRef>
              <c:f>Model!$AP$3</c:f>
              <c:strCache>
                <c:ptCount val="1"/>
                <c:pt idx="0">
                  <c:v>Y Unit Value Isocost</c:v>
                </c:pt>
              </c:strCache>
            </c:strRef>
          </c:tx>
          <c:spPr>
            <a:ln w="12700"/>
          </c:spPr>
          <c:marker>
            <c:symbol val="none"/>
          </c:marker>
          <c:xVal>
            <c:numRef>
              <c:f>Model!$AP$5:$AP$6</c:f>
              <c:numCache>
                <c:formatCode>0.0</c:formatCode>
                <c:ptCount val="2"/>
                <c:pt idx="0">
                  <c:v>0.97767570554723771</c:v>
                </c:pt>
                <c:pt idx="1">
                  <c:v>0</c:v>
                </c:pt>
              </c:numCache>
            </c:numRef>
          </c:xVal>
          <c:yVal>
            <c:numRef>
              <c:f>Model!$AQ$5:$AQ$6</c:f>
              <c:numCache>
                <c:formatCode>0.0</c:formatCode>
                <c:ptCount val="2"/>
                <c:pt idx="0">
                  <c:v>0</c:v>
                </c:pt>
                <c:pt idx="1">
                  <c:v>1.1364822760827265</c:v>
                </c:pt>
              </c:numCache>
            </c:numRef>
          </c:yVal>
          <c:smooth val="1"/>
        </c:ser>
        <c:axId val="160124928"/>
        <c:axId val="160126848"/>
      </c:scatterChart>
      <c:valAx>
        <c:axId val="160124928"/>
        <c:scaling>
          <c:orientation val="minMax"/>
          <c:max val="2"/>
          <c:min val="0"/>
        </c:scaling>
        <c:axPos val="b"/>
        <c:title>
          <c:tx>
            <c:rich>
              <a:bodyPr/>
              <a:lstStyle/>
              <a:p>
                <a:pPr>
                  <a:defRPr sz="1000" b="1" i="0" u="none" strike="noStrike" baseline="0">
                    <a:solidFill>
                      <a:srgbClr val="000000"/>
                    </a:solidFill>
                    <a:latin typeface="Arial"/>
                    <a:ea typeface="Arial"/>
                    <a:cs typeface="Arial"/>
                  </a:defRPr>
                </a:pPr>
                <a:r>
                  <a:rPr lang="en-US"/>
                  <a:t>Labor</a:t>
                </a:r>
              </a:p>
            </c:rich>
          </c:tx>
          <c:layout>
            <c:manualLayout>
              <c:xMode val="edge"/>
              <c:yMode val="edge"/>
              <c:x val="0.48817308284225674"/>
              <c:y val="0.92436978183156948"/>
            </c:manualLayout>
          </c:layout>
          <c:spPr>
            <a:noFill/>
            <a:ln w="25400">
              <a:noFill/>
            </a:ln>
          </c:spPr>
        </c:title>
        <c:numFmt formatCode="0.0" sourceLinked="1"/>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60126848"/>
        <c:crosses val="autoZero"/>
        <c:crossBetween val="midCat"/>
      </c:valAx>
      <c:valAx>
        <c:axId val="160126848"/>
        <c:scaling>
          <c:orientation val="minMax"/>
          <c:max val="2"/>
          <c:min val="0"/>
        </c:scaling>
        <c:axPos val="l"/>
        <c:majorGridlines>
          <c:spPr>
            <a:ln w="3175">
              <a:solidFill>
                <a:srgbClr val="FFFFFF"/>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Capital</a:t>
                </a:r>
              </a:p>
            </c:rich>
          </c:tx>
          <c:layout>
            <c:manualLayout>
              <c:xMode val="edge"/>
              <c:yMode val="edge"/>
              <c:x val="1.0752760382564121E-2"/>
              <c:y val="0.45168062137029258"/>
            </c:manualLayout>
          </c:layout>
          <c:spPr>
            <a:noFill/>
            <a:ln w="25400">
              <a:noFill/>
            </a:ln>
          </c:spPr>
        </c:title>
        <c:numFmt formatCode="0.0" sourceLinked="1"/>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60124928"/>
        <c:crosses val="autoZero"/>
        <c:crossBetween val="midCat"/>
      </c:valAx>
      <c:spPr>
        <a:solidFill>
          <a:srgbClr val="FFFFFF"/>
        </a:solidFill>
        <a:ln w="25400">
          <a:noFill/>
        </a:ln>
      </c:spPr>
    </c:plotArea>
    <c:legend>
      <c:legendPos val="r"/>
      <c:layout>
        <c:manualLayout>
          <c:xMode val="edge"/>
          <c:yMode val="edge"/>
          <c:x val="8.7420042643923238E-2"/>
          <c:y val="1.1312217194570134E-2"/>
          <c:w val="0.84648277174308428"/>
          <c:h val="8.1447963800904979E-2"/>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4563540996680285"/>
          <c:y val="0.1395460859197033"/>
          <c:w val="0.81505547516690868"/>
          <c:h val="0.71186516132998578"/>
        </c:manualLayout>
      </c:layout>
      <c:scatterChart>
        <c:scatterStyle val="smoothMarker"/>
        <c:ser>
          <c:idx val="0"/>
          <c:order val="0"/>
          <c:tx>
            <c:v>X Isoprice</c:v>
          </c:tx>
          <c:spPr>
            <a:ln w="12700">
              <a:solidFill>
                <a:srgbClr val="3366FF"/>
              </a:solidFill>
              <a:prstDash val="solid"/>
            </a:ln>
          </c:spPr>
          <c:marker>
            <c:symbol val="none"/>
          </c:marker>
          <c:xVal>
            <c:numRef>
              <c:f>Model!$AZ$5:$AZ$40</c:f>
              <c:numCache>
                <c:formatCode>0.0</c:formatCode>
                <c:ptCount val="36"/>
                <c:pt idx="0">
                  <c:v>0.78170829015699217</c:v>
                </c:pt>
                <c:pt idx="1">
                  <c:v>0.81651662472393527</c:v>
                </c:pt>
                <c:pt idx="2">
                  <c:v>0.85132495929087837</c:v>
                </c:pt>
                <c:pt idx="3">
                  <c:v>0.88613329385782147</c:v>
                </c:pt>
                <c:pt idx="4">
                  <c:v>0.92094162842476457</c:v>
                </c:pt>
                <c:pt idx="5">
                  <c:v>0.95574996299170767</c:v>
                </c:pt>
                <c:pt idx="6">
                  <c:v>0.99055829755865077</c:v>
                </c:pt>
                <c:pt idx="7">
                  <c:v>1.0253666321255939</c:v>
                </c:pt>
                <c:pt idx="8">
                  <c:v>1.0601749666925369</c:v>
                </c:pt>
                <c:pt idx="9">
                  <c:v>1.0949833012594798</c:v>
                </c:pt>
                <c:pt idx="10">
                  <c:v>1.1297916358264228</c:v>
                </c:pt>
                <c:pt idx="11">
                  <c:v>1.1645999703933658</c:v>
                </c:pt>
                <c:pt idx="12">
                  <c:v>1.1994083049603088</c:v>
                </c:pt>
                <c:pt idx="13">
                  <c:v>1.2342166395272518</c:v>
                </c:pt>
                <c:pt idx="14">
                  <c:v>1.2690249740941948</c:v>
                </c:pt>
                <c:pt idx="15">
                  <c:v>1.3038333086611378</c:v>
                </c:pt>
                <c:pt idx="16">
                  <c:v>1.3386416432280808</c:v>
                </c:pt>
                <c:pt idx="17">
                  <c:v>1.3734499777950238</c:v>
                </c:pt>
                <c:pt idx="18">
                  <c:v>1.4082583123619667</c:v>
                </c:pt>
                <c:pt idx="19">
                  <c:v>1.4430666469289097</c:v>
                </c:pt>
                <c:pt idx="20">
                  <c:v>1.4778749814958527</c:v>
                </c:pt>
                <c:pt idx="21">
                  <c:v>1.5126833160627957</c:v>
                </c:pt>
                <c:pt idx="22">
                  <c:v>1.5474916506297387</c:v>
                </c:pt>
                <c:pt idx="23">
                  <c:v>1.5822999851966817</c:v>
                </c:pt>
                <c:pt idx="24">
                  <c:v>1.6171083197636247</c:v>
                </c:pt>
                <c:pt idx="25">
                  <c:v>1.6519166543305677</c:v>
                </c:pt>
                <c:pt idx="26">
                  <c:v>1.6867249888975107</c:v>
                </c:pt>
                <c:pt idx="27">
                  <c:v>1.7215333234644536</c:v>
                </c:pt>
                <c:pt idx="28">
                  <c:v>1.7563416580313966</c:v>
                </c:pt>
                <c:pt idx="29">
                  <c:v>1.7911499925983396</c:v>
                </c:pt>
                <c:pt idx="30">
                  <c:v>1.8259583271652826</c:v>
                </c:pt>
                <c:pt idx="31">
                  <c:v>1.8607666617322256</c:v>
                </c:pt>
                <c:pt idx="32">
                  <c:v>1.8955749962991686</c:v>
                </c:pt>
                <c:pt idx="33">
                  <c:v>1.9303833308661116</c:v>
                </c:pt>
                <c:pt idx="34">
                  <c:v>1.9651916654330546</c:v>
                </c:pt>
                <c:pt idx="35" formatCode="General">
                  <c:v>2</c:v>
                </c:pt>
              </c:numCache>
            </c:numRef>
          </c:xVal>
          <c:yVal>
            <c:numRef>
              <c:f>Model!$AY$5:$AY$40</c:f>
              <c:numCache>
                <c:formatCode>0.0</c:formatCode>
                <c:ptCount val="36"/>
                <c:pt idx="0">
                  <c:v>2</c:v>
                </c:pt>
                <c:pt idx="1">
                  <c:v>1.5624814990040654</c:v>
                </c:pt>
                <c:pt idx="2">
                  <c:v>1.2333215514578753</c:v>
                </c:pt>
                <c:pt idx="3">
                  <c:v>0.98277799192553639</c:v>
                </c:pt>
                <c:pt idx="4">
                  <c:v>0.79001403104543977</c:v>
                </c:pt>
                <c:pt idx="5">
                  <c:v>0.64022469263753268</c:v>
                </c:pt>
                <c:pt idx="6">
                  <c:v>0.52275296100270485</c:v>
                </c:pt>
                <c:pt idx="7">
                  <c:v>0.4298346026481098</c:v>
                </c:pt>
                <c:pt idx="8">
                  <c:v>0.35574923356575056</c:v>
                </c:pt>
                <c:pt idx="9">
                  <c:v>0.2962381031062602</c:v>
                </c:pt>
                <c:pt idx="10">
                  <c:v>0.2480995920151117</c:v>
                </c:pt>
                <c:pt idx="11">
                  <c:v>0.20890476179912781</c:v>
                </c:pt>
                <c:pt idx="12">
                  <c:v>0.17679505092676256</c:v>
                </c:pt>
                <c:pt idx="13">
                  <c:v>0.15033686123998641</c:v>
                </c:pt>
                <c:pt idx="14">
                  <c:v>0.12841599032798934</c:v>
                </c:pt>
                <c:pt idx="15">
                  <c:v>0.1101602696405561</c:v>
                </c:pt>
                <c:pt idx="16">
                  <c:v>9.4882369040235046E-2</c:v>
                </c:pt>
                <c:pt idx="17">
                  <c:v>8.2037156428476699E-2</c:v>
                </c:pt>
                <c:pt idx="18">
                  <c:v>7.1189656455804537E-2</c:v>
                </c:pt>
                <c:pt idx="19">
                  <c:v>6.1990792899855915E-2</c:v>
                </c:pt>
                <c:pt idx="20">
                  <c:v>5.4158893024451871E-2</c:v>
                </c:pt>
                <c:pt idx="21">
                  <c:v>4.7465489825602433E-2</c:v>
                </c:pt>
                <c:pt idx="22">
                  <c:v>4.1724353299051858E-2</c:v>
                </c:pt>
                <c:pt idx="23">
                  <c:v>3.6782964399613718E-2</c:v>
                </c:pt>
                <c:pt idx="24">
                  <c:v>3.251584897871973E-2</c:v>
                </c:pt>
                <c:pt idx="25">
                  <c:v>2.8819336863139783E-2</c:v>
                </c:pt>
                <c:pt idx="26">
                  <c:v>2.5607419425907586E-2</c:v>
                </c:pt>
                <c:pt idx="27">
                  <c:v>2.2808458709705937E-2</c:v>
                </c:pt>
                <c:pt idx="28">
                  <c:v>2.0362560285366406E-2</c:v>
                </c:pt>
                <c:pt idx="29">
                  <c:v>1.8219466163236917E-2</c:v>
                </c:pt>
                <c:pt idx="30">
                  <c:v>1.6336857225420061E-2</c:v>
                </c:pt>
                <c:pt idx="31">
                  <c:v>1.4678979693540862E-2</c:v>
                </c:pt>
                <c:pt idx="32">
                  <c:v>1.3215529178029272E-2</c:v>
                </c:pt>
                <c:pt idx="33">
                  <c:v>1.1920740394331308E-2</c:v>
                </c:pt>
                <c:pt idx="34">
                  <c:v>1.0772641797336715E-2</c:v>
                </c:pt>
                <c:pt idx="35">
                  <c:v>9.7524430035488292E-3</c:v>
                </c:pt>
              </c:numCache>
            </c:numRef>
          </c:yVal>
          <c:smooth val="1"/>
        </c:ser>
        <c:ser>
          <c:idx val="3"/>
          <c:order val="1"/>
          <c:tx>
            <c:v>X Factor Intensity</c:v>
          </c:tx>
          <c:spPr>
            <a:ln w="12700">
              <a:solidFill>
                <a:srgbClr val="000080"/>
              </a:solidFill>
              <a:prstDash val="solid"/>
            </a:ln>
          </c:spPr>
          <c:marker>
            <c:symbol val="none"/>
          </c:marker>
          <c:xVal>
            <c:numRef>
              <c:f>Model!$BL$5:$BL$6</c:f>
              <c:numCache>
                <c:formatCode>0.0</c:formatCode>
                <c:ptCount val="2"/>
                <c:pt idx="0">
                  <c:v>0</c:v>
                </c:pt>
                <c:pt idx="1">
                  <c:v>1.0351860411676641</c:v>
                </c:pt>
              </c:numCache>
            </c:numRef>
          </c:xVal>
          <c:yVal>
            <c:numRef>
              <c:f>Model!$BK$5:$BK$6</c:f>
              <c:numCache>
                <c:formatCode>0.0</c:formatCode>
                <c:ptCount val="2"/>
                <c:pt idx="0">
                  <c:v>6.8188936564963623</c:v>
                </c:pt>
                <c:pt idx="1">
                  <c:v>0</c:v>
                </c:pt>
              </c:numCache>
            </c:numRef>
          </c:yVal>
          <c:smooth val="1"/>
        </c:ser>
        <c:ser>
          <c:idx val="1"/>
          <c:order val="2"/>
          <c:tx>
            <c:v>X Factor Price Ratio</c:v>
          </c:tx>
          <c:spPr>
            <a:ln w="12700">
              <a:solidFill>
                <a:srgbClr val="000000"/>
              </a:solidFill>
              <a:prstDash val="solid"/>
            </a:ln>
          </c:spPr>
          <c:marker>
            <c:symbol val="none"/>
          </c:marker>
          <c:dPt>
            <c:idx val="1"/>
            <c:marker>
              <c:symbol val="circle"/>
              <c:size val="5"/>
              <c:spPr>
                <a:solidFill>
                  <a:sysClr val="windowText" lastClr="000000"/>
                </a:solidFill>
                <a:ln>
                  <a:noFill/>
                </a:ln>
              </c:spPr>
            </c:marker>
          </c:dPt>
          <c:xVal>
            <c:numRef>
              <c:f>Model!$BF$5:$BF$6</c:f>
              <c:numCache>
                <c:formatCode>0.0</c:formatCode>
                <c:ptCount val="2"/>
                <c:pt idx="0">
                  <c:v>0</c:v>
                </c:pt>
                <c:pt idx="1">
                  <c:v>0.87990813499251475</c:v>
                </c:pt>
              </c:numCache>
            </c:numRef>
          </c:xVal>
          <c:yVal>
            <c:numRef>
              <c:f>Model!$BE$5:$BE$6</c:f>
              <c:numCache>
                <c:formatCode>0.0</c:formatCode>
                <c:ptCount val="2"/>
                <c:pt idx="0">
                  <c:v>0</c:v>
                </c:pt>
                <c:pt idx="1">
                  <c:v>1.0228340484744547</c:v>
                </c:pt>
              </c:numCache>
            </c:numRef>
          </c:yVal>
          <c:smooth val="1"/>
        </c:ser>
        <c:ser>
          <c:idx val="2"/>
          <c:order val="3"/>
          <c:tx>
            <c:v>Y Isoprice</c:v>
          </c:tx>
          <c:spPr>
            <a:ln w="12700">
              <a:solidFill>
                <a:srgbClr val="FF00FF"/>
              </a:solidFill>
              <a:prstDash val="solid"/>
            </a:ln>
          </c:spPr>
          <c:marker>
            <c:symbol val="none"/>
          </c:marker>
          <c:xVal>
            <c:numRef>
              <c:f>Model!$BC$5:$BC$40</c:f>
              <c:numCache>
                <c:formatCode>0.0</c:formatCode>
                <c:ptCount val="36"/>
                <c:pt idx="0">
                  <c:v>1.9686266404607369E-2</c:v>
                </c:pt>
                <c:pt idx="1">
                  <c:v>7.6266658793047157E-2</c:v>
                </c:pt>
                <c:pt idx="2">
                  <c:v>0.13284705118148693</c:v>
                </c:pt>
                <c:pt idx="3">
                  <c:v>0.18942744356992672</c:v>
                </c:pt>
                <c:pt idx="4">
                  <c:v>0.24600783595836651</c:v>
                </c:pt>
                <c:pt idx="5">
                  <c:v>0.30258822834680632</c:v>
                </c:pt>
                <c:pt idx="6">
                  <c:v>0.35916862073524614</c:v>
                </c:pt>
                <c:pt idx="7">
                  <c:v>0.41574901312368595</c:v>
                </c:pt>
                <c:pt idx="8">
                  <c:v>0.47232940551212577</c:v>
                </c:pt>
                <c:pt idx="9">
                  <c:v>0.52890979790056558</c:v>
                </c:pt>
                <c:pt idx="10">
                  <c:v>0.5854901902890054</c:v>
                </c:pt>
                <c:pt idx="11">
                  <c:v>0.64207058267744521</c:v>
                </c:pt>
                <c:pt idx="12">
                  <c:v>0.69865097506588503</c:v>
                </c:pt>
                <c:pt idx="13">
                  <c:v>0.75523136745432484</c:v>
                </c:pt>
                <c:pt idx="14">
                  <c:v>0.81181175984276466</c:v>
                </c:pt>
                <c:pt idx="15">
                  <c:v>0.86839215223120447</c:v>
                </c:pt>
                <c:pt idx="16">
                  <c:v>0.92497254461964429</c:v>
                </c:pt>
                <c:pt idx="17">
                  <c:v>0.9815529370080841</c:v>
                </c:pt>
                <c:pt idx="18">
                  <c:v>1.0381333293965238</c:v>
                </c:pt>
                <c:pt idx="19">
                  <c:v>1.0947137217849636</c:v>
                </c:pt>
                <c:pt idx="20">
                  <c:v>1.1512941141734034</c:v>
                </c:pt>
                <c:pt idx="21">
                  <c:v>1.2078745065618433</c:v>
                </c:pt>
                <c:pt idx="22">
                  <c:v>1.2644548989502831</c:v>
                </c:pt>
                <c:pt idx="23">
                  <c:v>1.3210352913387229</c:v>
                </c:pt>
                <c:pt idx="24">
                  <c:v>1.3776156837271627</c:v>
                </c:pt>
                <c:pt idx="25">
                  <c:v>1.4341960761156025</c:v>
                </c:pt>
                <c:pt idx="26">
                  <c:v>1.4907764685040423</c:v>
                </c:pt>
                <c:pt idx="27">
                  <c:v>1.5473568608924821</c:v>
                </c:pt>
                <c:pt idx="28">
                  <c:v>1.603937253280922</c:v>
                </c:pt>
                <c:pt idx="29">
                  <c:v>1.6605176456693618</c:v>
                </c:pt>
                <c:pt idx="30">
                  <c:v>1.7170980380578016</c:v>
                </c:pt>
                <c:pt idx="31">
                  <c:v>1.7736784304462414</c:v>
                </c:pt>
                <c:pt idx="32">
                  <c:v>1.8302588228346812</c:v>
                </c:pt>
                <c:pt idx="33">
                  <c:v>1.886839215223121</c:v>
                </c:pt>
                <c:pt idx="34">
                  <c:v>1.9434196076115609</c:v>
                </c:pt>
                <c:pt idx="35" formatCode="General">
                  <c:v>2</c:v>
                </c:pt>
              </c:numCache>
            </c:numRef>
          </c:xVal>
          <c:yVal>
            <c:numRef>
              <c:f>Model!$BB$5:$BB$40</c:f>
              <c:numCache>
                <c:formatCode>0.0</c:formatCode>
                <c:ptCount val="36"/>
                <c:pt idx="0">
                  <c:v>2</c:v>
                </c:pt>
                <c:pt idx="1">
                  <c:v>1.5748349676792159</c:v>
                </c:pt>
                <c:pt idx="2">
                  <c:v>1.4279158113210564</c:v>
                </c:pt>
                <c:pt idx="3">
                  <c:v>1.3412510556095882</c:v>
                </c:pt>
                <c:pt idx="4">
                  <c:v>1.2807949268589731</c:v>
                </c:pt>
                <c:pt idx="5">
                  <c:v>1.2348504032593637</c:v>
                </c:pt>
                <c:pt idx="6">
                  <c:v>1.1980549979604043</c:v>
                </c:pt>
                <c:pt idx="7">
                  <c:v>1.1675220126904144</c:v>
                </c:pt>
                <c:pt idx="8">
                  <c:v>1.1415269768200933</c:v>
                </c:pt>
                <c:pt idx="9">
                  <c:v>1.1189611535677024</c:v>
                </c:pt>
                <c:pt idx="10">
                  <c:v>1.0990715064558123</c:v>
                </c:pt>
                <c:pt idx="11">
                  <c:v>1.0813243461844624</c:v>
                </c:pt>
                <c:pt idx="12">
                  <c:v>1.065328343726679</c:v>
                </c:pt>
                <c:pt idx="13">
                  <c:v>1.0507884504771239</c:v>
                </c:pt>
                <c:pt idx="14">
                  <c:v>1.0374769813381626</c:v>
                </c:pt>
                <c:pt idx="15">
                  <c:v>1.0252147431185672</c:v>
                </c:pt>
                <c:pt idx="16">
                  <c:v>1.0138583053296757</c:v>
                </c:pt>
                <c:pt idx="17">
                  <c:v>1.0032911684973524</c:v>
                </c:pt>
                <c:pt idx="18">
                  <c:v>0.99341748531976004</c:v>
                </c:pt>
                <c:pt idx="19">
                  <c:v>0.98415750061260432</c:v>
                </c:pt>
                <c:pt idx="20">
                  <c:v>0.97544417674844519</c:v>
                </c:pt>
                <c:pt idx="21">
                  <c:v>0.96722065438551963</c:v>
                </c:pt>
                <c:pt idx="22">
                  <c:v>0.95943831301396676</c:v>
                </c:pt>
                <c:pt idx="23">
                  <c:v>0.95205526961836973</c:v>
                </c:pt>
                <c:pt idx="24">
                  <c:v>0.94503520229281923</c:v>
                </c:pt>
                <c:pt idx="25">
                  <c:v>0.93834641824723375</c:v>
                </c:pt>
                <c:pt idx="26">
                  <c:v>0.93196110795657194</c:v>
                </c:pt>
                <c:pt idx="27">
                  <c:v>0.92585474273736401</c:v>
                </c:pt>
                <c:pt idx="28">
                  <c:v>0.92000558401825583</c:v>
                </c:pt>
                <c:pt idx="29">
                  <c:v>0.91439428044750459</c:v>
                </c:pt>
                <c:pt idx="30">
                  <c:v>0.90900353470362794</c:v>
                </c:pt>
                <c:pt idx="31">
                  <c:v>0.90381782608482519</c:v>
                </c:pt>
                <c:pt idx="32">
                  <c:v>0.89882317808373935</c:v>
                </c:pt>
                <c:pt idx="33">
                  <c:v>0.8940069625072774</c:v>
                </c:pt>
                <c:pt idx="34">
                  <c:v>0.88935773348705571</c:v>
                </c:pt>
                <c:pt idx="35">
                  <c:v>0.88486508609366143</c:v>
                </c:pt>
              </c:numCache>
            </c:numRef>
          </c:yVal>
          <c:smooth val="1"/>
        </c:ser>
        <c:ser>
          <c:idx val="4"/>
          <c:order val="4"/>
          <c:tx>
            <c:v>Y Factor Intensity</c:v>
          </c:tx>
          <c:spPr>
            <a:ln w="12700">
              <a:solidFill>
                <a:srgbClr val="800000"/>
              </a:solidFill>
              <a:prstDash val="solid"/>
            </a:ln>
          </c:spPr>
          <c:marker>
            <c:symbol val="none"/>
          </c:marker>
          <c:xVal>
            <c:numRef>
              <c:f>Model!$BO$5:$BO$6</c:f>
              <c:numCache>
                <c:formatCode>0.0</c:formatCode>
                <c:ptCount val="2"/>
                <c:pt idx="0">
                  <c:v>0</c:v>
                </c:pt>
                <c:pt idx="1">
                  <c:v>5.8660542332834238</c:v>
                </c:pt>
              </c:numCache>
            </c:numRef>
          </c:xVal>
          <c:yVal>
            <c:numRef>
              <c:f>Model!$BN$5:$BN$6</c:f>
              <c:numCache>
                <c:formatCode>0.0</c:formatCode>
                <c:ptCount val="2"/>
                <c:pt idx="0">
                  <c:v>1.2033341746758275</c:v>
                </c:pt>
                <c:pt idx="1">
                  <c:v>0</c:v>
                </c:pt>
              </c:numCache>
            </c:numRef>
          </c:yVal>
          <c:smooth val="1"/>
        </c:ser>
        <c:ser>
          <c:idx val="5"/>
          <c:order val="5"/>
          <c:tx>
            <c:v>Y Factor Price Ratio</c:v>
          </c:tx>
          <c:spPr>
            <a:ln w="12700"/>
          </c:spPr>
          <c:marker>
            <c:symbol val="none"/>
          </c:marker>
          <c:dPt>
            <c:idx val="1"/>
            <c:marker>
              <c:symbol val="circle"/>
              <c:size val="5"/>
              <c:spPr>
                <a:solidFill>
                  <a:sysClr val="windowText" lastClr="000000"/>
                </a:solidFill>
                <a:ln>
                  <a:noFill/>
                </a:ln>
              </c:spPr>
            </c:marker>
          </c:dPt>
          <c:xVal>
            <c:numRef>
              <c:f>Model!$BI$5:$BI$6</c:f>
              <c:numCache>
                <c:formatCode>0.0</c:formatCode>
                <c:ptCount val="2"/>
                <c:pt idx="0">
                  <c:v>0</c:v>
                </c:pt>
                <c:pt idx="1">
                  <c:v>0.87990813499251475</c:v>
                </c:pt>
              </c:numCache>
            </c:numRef>
          </c:xVal>
          <c:yVal>
            <c:numRef>
              <c:f>Model!$BH$5:$BH$6</c:f>
              <c:numCache>
                <c:formatCode>0.0</c:formatCode>
                <c:ptCount val="2"/>
                <c:pt idx="0">
                  <c:v>0</c:v>
                </c:pt>
                <c:pt idx="1">
                  <c:v>1.0228340484744547</c:v>
                </c:pt>
              </c:numCache>
            </c:numRef>
          </c:yVal>
          <c:smooth val="1"/>
        </c:ser>
        <c:axId val="171321984"/>
        <c:axId val="171332352"/>
      </c:scatterChart>
      <c:valAx>
        <c:axId val="171321984"/>
        <c:scaling>
          <c:orientation val="minMax"/>
          <c:max val="2"/>
          <c:min val="0"/>
        </c:scaling>
        <c:axPos val="b"/>
        <c:title>
          <c:tx>
            <c:rich>
              <a:bodyPr/>
              <a:lstStyle/>
              <a:p>
                <a:pPr>
                  <a:defRPr sz="975" b="1" i="0" u="none" strike="noStrike" baseline="0">
                    <a:solidFill>
                      <a:srgbClr val="000000"/>
                    </a:solidFill>
                    <a:latin typeface="Arial"/>
                    <a:ea typeface="Arial"/>
                    <a:cs typeface="Arial"/>
                  </a:defRPr>
                </a:pPr>
                <a:r>
                  <a:rPr lang="en-US"/>
                  <a:t>Rental (Price of Capital)</a:t>
                </a:r>
              </a:p>
            </c:rich>
          </c:tx>
          <c:layout>
            <c:manualLayout>
              <c:xMode val="edge"/>
              <c:yMode val="edge"/>
              <c:x val="0.37204372180750139"/>
              <c:y val="0.92850322442726319"/>
            </c:manualLayout>
          </c:layout>
          <c:spPr>
            <a:noFill/>
            <a:ln w="25400">
              <a:noFill/>
            </a:ln>
          </c:spPr>
        </c:title>
        <c:numFmt formatCode="0.0" sourceLinked="1"/>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71332352"/>
        <c:crosses val="autoZero"/>
        <c:crossBetween val="midCat"/>
      </c:valAx>
      <c:valAx>
        <c:axId val="171332352"/>
        <c:scaling>
          <c:orientation val="minMax"/>
          <c:max val="2"/>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rPr lang="en-US"/>
                  <a:t>Wage (Price of Labor)</a:t>
                </a:r>
              </a:p>
            </c:rich>
          </c:tx>
          <c:layout>
            <c:manualLayout>
              <c:xMode val="edge"/>
              <c:yMode val="edge"/>
              <c:x val="1.7204213109724916E-2"/>
              <c:y val="0.34033610052137142"/>
            </c:manualLayout>
          </c:layout>
          <c:spPr>
            <a:noFill/>
            <a:ln w="25400">
              <a:noFill/>
            </a:ln>
          </c:spPr>
        </c:title>
        <c:numFmt formatCode="0.0" sourceLinked="1"/>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71321984"/>
        <c:crosses val="autoZero"/>
        <c:crossBetween val="midCat"/>
      </c:valAx>
      <c:spPr>
        <a:solidFill>
          <a:srgbClr val="FFFFFF"/>
        </a:solidFill>
        <a:ln w="25400">
          <a:noFill/>
        </a:ln>
      </c:spPr>
    </c:plotArea>
    <c:legend>
      <c:legendPos val="r"/>
      <c:layout>
        <c:manualLayout>
          <c:xMode val="edge"/>
          <c:yMode val="edge"/>
          <c:x val="8.4415811659906151E-2"/>
          <c:y val="1.5837104072398189E-2"/>
          <c:w val="0.85930917726193301"/>
          <c:h val="8.1447963800904979E-2"/>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827981829598939"/>
          <c:y val="0.14705882352941191"/>
          <c:w val="0.8258081859210894"/>
          <c:h val="0.71218487394958085"/>
        </c:manualLayout>
      </c:layout>
      <c:scatterChart>
        <c:scatterStyle val="smoothMarker"/>
        <c:ser>
          <c:idx val="0"/>
          <c:order val="0"/>
          <c:tx>
            <c:v>Labor Budget Constraint</c:v>
          </c:tx>
          <c:spPr>
            <a:ln w="12700"/>
          </c:spPr>
          <c:marker>
            <c:symbol val="none"/>
          </c:marker>
          <c:xVal>
            <c:numRef>
              <c:f>Model!$AG$53:$AG$54</c:f>
              <c:numCache>
                <c:formatCode>General</c:formatCode>
                <c:ptCount val="2"/>
                <c:pt idx="0" formatCode="0.00">
                  <c:v>0.97767570554723859</c:v>
                </c:pt>
                <c:pt idx="1">
                  <c:v>0</c:v>
                </c:pt>
              </c:numCache>
            </c:numRef>
          </c:xVal>
          <c:yVal>
            <c:numRef>
              <c:f>Model!$AH$53:$AH$54</c:f>
              <c:numCache>
                <c:formatCode>0.00</c:formatCode>
                <c:ptCount val="2"/>
                <c:pt idx="0" formatCode="General">
                  <c:v>0</c:v>
                </c:pt>
                <c:pt idx="1">
                  <c:v>0.87990813499251475</c:v>
                </c:pt>
              </c:numCache>
            </c:numRef>
          </c:yVal>
          <c:smooth val="1"/>
        </c:ser>
        <c:ser>
          <c:idx val="1"/>
          <c:order val="1"/>
          <c:tx>
            <c:v>Capital Budget Constraint</c:v>
          </c:tx>
          <c:spPr>
            <a:ln w="12700"/>
          </c:spPr>
          <c:marker>
            <c:symbol val="none"/>
          </c:marker>
          <c:xVal>
            <c:numRef>
              <c:f>Model!$AJ$53:$AJ$54</c:f>
              <c:numCache>
                <c:formatCode>General</c:formatCode>
                <c:ptCount val="2"/>
                <c:pt idx="0" formatCode="0.00">
                  <c:v>1.1364822760827273</c:v>
                </c:pt>
                <c:pt idx="1">
                  <c:v>0</c:v>
                </c:pt>
              </c:numCache>
            </c:numRef>
          </c:xVal>
          <c:yVal>
            <c:numRef>
              <c:f>Model!$AK$53:$AK$54</c:f>
              <c:numCache>
                <c:formatCode>0.00</c:formatCode>
                <c:ptCount val="2"/>
                <c:pt idx="0" formatCode="General">
                  <c:v>0</c:v>
                </c:pt>
                <c:pt idx="1">
                  <c:v>1.0228340484744547</c:v>
                </c:pt>
              </c:numCache>
            </c:numRef>
          </c:yVal>
          <c:smooth val="1"/>
        </c:ser>
        <c:axId val="171341696"/>
        <c:axId val="171372544"/>
      </c:scatterChart>
      <c:valAx>
        <c:axId val="171341696"/>
        <c:scaling>
          <c:orientation val="minMax"/>
          <c:max val="2"/>
          <c:min val="0"/>
        </c:scaling>
        <c:axPos val="b"/>
        <c:title>
          <c:tx>
            <c:rich>
              <a:bodyPr/>
              <a:lstStyle/>
              <a:p>
                <a:pPr>
                  <a:defRPr sz="1000" b="1" i="0" u="none" strike="noStrike" baseline="0">
                    <a:solidFill>
                      <a:srgbClr val="000000"/>
                    </a:solidFill>
                    <a:latin typeface="Arial"/>
                    <a:ea typeface="Arial"/>
                    <a:cs typeface="Arial"/>
                  </a:defRPr>
                </a:pPr>
                <a:r>
                  <a:rPr lang="en-US"/>
                  <a:t>Quantity of X</a:t>
                </a:r>
              </a:p>
            </c:rich>
          </c:tx>
          <c:spPr>
            <a:noFill/>
            <a:ln w="25400">
              <a:noFill/>
            </a:ln>
          </c:spPr>
        </c:title>
        <c:numFmt formatCode="0.0" sourceLinked="0"/>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71372544"/>
        <c:crosses val="autoZero"/>
        <c:crossBetween val="midCat"/>
        <c:majorUnit val="0.2"/>
      </c:valAx>
      <c:valAx>
        <c:axId val="171372544"/>
        <c:scaling>
          <c:orientation val="minMax"/>
          <c:max val="2"/>
          <c:min val="0"/>
        </c:scaling>
        <c:axPos val="l"/>
        <c:majorGridlines>
          <c:spPr>
            <a:ln w="3175">
              <a:solidFill>
                <a:srgbClr val="FFFFFF"/>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Quantity of Y</a:t>
                </a:r>
              </a:p>
            </c:rich>
          </c:tx>
          <c:spPr>
            <a:noFill/>
            <a:ln w="25400">
              <a:noFill/>
            </a:ln>
          </c:spPr>
        </c:title>
        <c:numFmt formatCode="#,##0.0" sourceLinked="0"/>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71341696"/>
        <c:crosses val="autoZero"/>
        <c:crossBetween val="midCat"/>
      </c:valAx>
      <c:spPr>
        <a:solidFill>
          <a:srgbClr val="FFFFFF"/>
        </a:solidFill>
        <a:ln w="25400">
          <a:noFill/>
        </a:ln>
      </c:spPr>
    </c:plotArea>
    <c:legend>
      <c:legendPos val="r"/>
      <c:layout>
        <c:manualLayout>
          <c:xMode val="edge"/>
          <c:yMode val="edge"/>
          <c:x val="0.16417932833022736"/>
          <c:y val="3.7815227847650269E-2"/>
          <c:w val="0.67590685492671632"/>
          <c:h val="3.7815227847650269E-2"/>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827981829598939"/>
          <c:y val="0.14705882352941191"/>
          <c:w val="0.8258081859210894"/>
          <c:h val="0.71218487394958163"/>
        </c:manualLayout>
      </c:layout>
      <c:scatterChart>
        <c:scatterStyle val="smoothMarker"/>
        <c:ser>
          <c:idx val="2"/>
          <c:order val="0"/>
          <c:tx>
            <c:v>Labor Supply</c:v>
          </c:tx>
          <c:spPr>
            <a:ln w="12700">
              <a:solidFill>
                <a:srgbClr val="000000"/>
              </a:solidFill>
            </a:ln>
          </c:spPr>
          <c:marker>
            <c:symbol val="none"/>
          </c:marker>
          <c:xVal>
            <c:numRef>
              <c:f>Model!$AH$61:$AH$62</c:f>
              <c:numCache>
                <c:formatCode>0.00</c:formatCode>
                <c:ptCount val="2"/>
                <c:pt idx="0">
                  <c:v>135</c:v>
                </c:pt>
                <c:pt idx="1">
                  <c:v>135</c:v>
                </c:pt>
              </c:numCache>
            </c:numRef>
          </c:xVal>
          <c:yVal>
            <c:numRef>
              <c:f>Model!$AG$61:$AG$62</c:f>
              <c:numCache>
                <c:formatCode>General</c:formatCode>
                <c:ptCount val="2"/>
                <c:pt idx="0">
                  <c:v>0</c:v>
                </c:pt>
                <c:pt idx="1">
                  <c:v>3.0685021454233641</c:v>
                </c:pt>
              </c:numCache>
            </c:numRef>
          </c:yVal>
          <c:smooth val="1"/>
        </c:ser>
        <c:ser>
          <c:idx val="3"/>
          <c:order val="1"/>
          <c:tx>
            <c:v>Labor Demand</c:v>
          </c:tx>
          <c:spPr>
            <a:ln w="12700"/>
          </c:spPr>
          <c:marker>
            <c:symbol val="none"/>
          </c:marker>
          <c:xVal>
            <c:numRef>
              <c:f>Model!$AK$61:$AK$96</c:f>
              <c:numCache>
                <c:formatCode>0.00</c:formatCode>
                <c:ptCount val="36"/>
                <c:pt idx="0">
                  <c:v>257.0445046213008</c:v>
                </c:pt>
                <c:pt idx="1">
                  <c:v>208.36480243253638</c:v>
                </c:pt>
                <c:pt idx="2">
                  <c:v>186.23899184095956</c:v>
                </c:pt>
                <c:pt idx="3">
                  <c:v>172.86821172709111</c:v>
                </c:pt>
                <c:pt idx="4">
                  <c:v>163.62787001885442</c:v>
                </c:pt>
                <c:pt idx="5">
                  <c:v>156.72054813763418</c:v>
                </c:pt>
                <c:pt idx="6">
                  <c:v>151.28425786954847</c:v>
                </c:pt>
                <c:pt idx="7">
                  <c:v>146.84728932329756</c:v>
                </c:pt>
                <c:pt idx="8">
                  <c:v>143.12682522738859</c:v>
                </c:pt>
                <c:pt idx="9">
                  <c:v>139.94152004335697</c:v>
                </c:pt>
                <c:pt idx="10">
                  <c:v>137.16893952956585</c:v>
                </c:pt>
                <c:pt idx="11">
                  <c:v>134.72297453357422</c:v>
                </c:pt>
                <c:pt idx="12">
                  <c:v>132.54101887259031</c:v>
                </c:pt>
                <c:pt idx="13">
                  <c:v>130.57628431245897</c:v>
                </c:pt>
                <c:pt idx="14">
                  <c:v>128.79298402710921</c:v>
                </c:pt>
                <c:pt idx="15">
                  <c:v>127.16319863622761</c:v>
                </c:pt>
                <c:pt idx="16">
                  <c:v>134.99999999999997</c:v>
                </c:pt>
                <c:pt idx="17">
                  <c:v>132.78924766986555</c:v>
                </c:pt>
                <c:pt idx="18">
                  <c:v>130.80064745174073</c:v>
                </c:pt>
                <c:pt idx="19">
                  <c:v>128.99728958454668</c:v>
                </c:pt>
                <c:pt idx="20">
                  <c:v>127.35044216702991</c:v>
                </c:pt>
                <c:pt idx="21">
                  <c:v>125.83734690814435</c:v>
                </c:pt>
                <c:pt idx="22">
                  <c:v>124.43970189055712</c:v>
                </c:pt>
                <c:pt idx="23">
                  <c:v>123.1425915323824</c:v>
                </c:pt>
                <c:pt idx="24">
                  <c:v>121.93371566572182</c:v>
                </c:pt>
                <c:pt idx="25">
                  <c:v>120.80282353117873</c:v>
                </c:pt>
                <c:pt idx="26">
                  <c:v>119.74129116751998</c:v>
                </c:pt>
                <c:pt idx="27">
                  <c:v>118.74180106813914</c:v>
                </c:pt>
                <c:pt idx="28">
                  <c:v>117.79809602732223</c:v>
                </c:pt>
                <c:pt idx="29">
                  <c:v>116.90478764423004</c:v>
                </c:pt>
                <c:pt idx="30">
                  <c:v>116.05720566286996</c:v>
                </c:pt>
                <c:pt idx="31">
                  <c:v>115.25127821406646</c:v>
                </c:pt>
                <c:pt idx="32">
                  <c:v>114.48343571753142</c:v>
                </c:pt>
                <c:pt idx="33">
                  <c:v>113.75053309544356</c:v>
                </c:pt>
                <c:pt idx="34">
                  <c:v>113.04978629958971</c:v>
                </c:pt>
                <c:pt idx="35">
                  <c:v>109.33417178956181</c:v>
                </c:pt>
              </c:numCache>
            </c:numRef>
          </c:xVal>
          <c:yVal>
            <c:numRef>
              <c:f>Model!$AJ$61:$AJ$96</c:f>
              <c:numCache>
                <c:formatCode>General</c:formatCode>
                <c:ptCount val="36"/>
                <c:pt idx="0">
                  <c:v>0.1</c:v>
                </c:pt>
                <c:pt idx="1">
                  <c:v>0.18481434701209612</c:v>
                </c:pt>
                <c:pt idx="2">
                  <c:v>0.26962869402419221</c:v>
                </c:pt>
                <c:pt idx="3">
                  <c:v>0.35444304103628832</c:v>
                </c:pt>
                <c:pt idx="4">
                  <c:v>0.43925738804838443</c:v>
                </c:pt>
                <c:pt idx="5">
                  <c:v>0.52407173506048055</c:v>
                </c:pt>
                <c:pt idx="6">
                  <c:v>0.60888608207257666</c:v>
                </c:pt>
                <c:pt idx="7">
                  <c:v>0.69370042908467278</c:v>
                </c:pt>
                <c:pt idx="8">
                  <c:v>0.77851477609676889</c:v>
                </c:pt>
                <c:pt idx="9">
                  <c:v>0.863329123108865</c:v>
                </c:pt>
                <c:pt idx="10">
                  <c:v>0.94814347012096112</c:v>
                </c:pt>
                <c:pt idx="11">
                  <c:v>1.0329578171330573</c:v>
                </c:pt>
                <c:pt idx="12">
                  <c:v>1.1177721641451535</c:v>
                </c:pt>
                <c:pt idx="13">
                  <c:v>1.2025865111572496</c:v>
                </c:pt>
                <c:pt idx="14">
                  <c:v>1.2874008581693457</c:v>
                </c:pt>
                <c:pt idx="15">
                  <c:v>1.3722152051814418</c:v>
                </c:pt>
                <c:pt idx="16">
                  <c:v>1.0228340484744547</c:v>
                </c:pt>
                <c:pt idx="17">
                  <c:v>1.1076483954865508</c:v>
                </c:pt>
                <c:pt idx="18">
                  <c:v>1.1924627424986469</c:v>
                </c:pt>
                <c:pt idx="19">
                  <c:v>1.277277089510743</c:v>
                </c:pt>
                <c:pt idx="20">
                  <c:v>1.3620914365228391</c:v>
                </c:pt>
                <c:pt idx="21">
                  <c:v>1.4469057835349353</c:v>
                </c:pt>
                <c:pt idx="22">
                  <c:v>1.5317201305470314</c:v>
                </c:pt>
                <c:pt idx="23">
                  <c:v>1.6165344775591275</c:v>
                </c:pt>
                <c:pt idx="24">
                  <c:v>1.7013488245712236</c:v>
                </c:pt>
                <c:pt idx="25">
                  <c:v>1.7861631715833197</c:v>
                </c:pt>
                <c:pt idx="26">
                  <c:v>1.8709775185954158</c:v>
                </c:pt>
                <c:pt idx="27">
                  <c:v>1.9557918656075119</c:v>
                </c:pt>
                <c:pt idx="28">
                  <c:v>2.0406062126196081</c:v>
                </c:pt>
                <c:pt idx="29">
                  <c:v>2.1254205596317042</c:v>
                </c:pt>
                <c:pt idx="30">
                  <c:v>2.2102349066438003</c:v>
                </c:pt>
                <c:pt idx="31">
                  <c:v>2.2950492536558964</c:v>
                </c:pt>
                <c:pt idx="32">
                  <c:v>2.3798636006679925</c:v>
                </c:pt>
                <c:pt idx="33">
                  <c:v>2.4646779476800886</c:v>
                </c:pt>
                <c:pt idx="34">
                  <c:v>2.5494922946921847</c:v>
                </c:pt>
                <c:pt idx="35">
                  <c:v>3.0685021454233641</c:v>
                </c:pt>
              </c:numCache>
            </c:numRef>
          </c:yVal>
          <c:smooth val="1"/>
        </c:ser>
        <c:ser>
          <c:idx val="0"/>
          <c:order val="2"/>
          <c:tx>
            <c:v>Line</c:v>
          </c:tx>
          <c:spPr>
            <a:ln w="12700">
              <a:solidFill>
                <a:schemeClr val="tx1"/>
              </a:solidFill>
              <a:prstDash val="dash"/>
            </a:ln>
          </c:spPr>
          <c:marker>
            <c:symbol val="none"/>
          </c:marker>
          <c:dPt>
            <c:idx val="1"/>
            <c:marker>
              <c:symbol val="circle"/>
              <c:size val="5"/>
              <c:spPr>
                <a:solidFill>
                  <a:schemeClr val="tx1"/>
                </a:solidFill>
                <a:ln>
                  <a:noFill/>
                </a:ln>
              </c:spPr>
            </c:marker>
            <c:spPr>
              <a:ln w="12700">
                <a:solidFill>
                  <a:sysClr val="windowText" lastClr="000000"/>
                </a:solidFill>
                <a:prstDash val="dash"/>
              </a:ln>
            </c:spPr>
          </c:dPt>
          <c:xVal>
            <c:numRef>
              <c:f>Model!$AH$67:$AH$68</c:f>
              <c:numCache>
                <c:formatCode>0.00</c:formatCode>
                <c:ptCount val="2"/>
                <c:pt idx="0">
                  <c:v>0</c:v>
                </c:pt>
                <c:pt idx="1">
                  <c:v>135</c:v>
                </c:pt>
              </c:numCache>
            </c:numRef>
          </c:xVal>
          <c:yVal>
            <c:numRef>
              <c:f>Model!$AG$67:$AG$68</c:f>
              <c:numCache>
                <c:formatCode>0.00</c:formatCode>
                <c:ptCount val="2"/>
                <c:pt idx="0">
                  <c:v>1.0228340484744547</c:v>
                </c:pt>
                <c:pt idx="1">
                  <c:v>1.0228340484744547</c:v>
                </c:pt>
              </c:numCache>
            </c:numRef>
          </c:yVal>
        </c:ser>
        <c:axId val="171677568"/>
        <c:axId val="171679744"/>
      </c:scatterChart>
      <c:valAx>
        <c:axId val="171677568"/>
        <c:scaling>
          <c:orientation val="minMax"/>
          <c:max val="250"/>
          <c:min val="0"/>
        </c:scaling>
        <c:axPos val="b"/>
        <c:title>
          <c:tx>
            <c:rich>
              <a:bodyPr/>
              <a:lstStyle/>
              <a:p>
                <a:pPr>
                  <a:defRPr sz="1000" b="1" i="0" u="none" strike="noStrike" baseline="0">
                    <a:solidFill>
                      <a:srgbClr val="000000"/>
                    </a:solidFill>
                    <a:latin typeface="Arial"/>
                    <a:ea typeface="Arial"/>
                    <a:cs typeface="Arial"/>
                  </a:defRPr>
                </a:pPr>
                <a:r>
                  <a:rPr lang="en-US"/>
                  <a:t>Labor</a:t>
                </a:r>
              </a:p>
            </c:rich>
          </c:tx>
          <c:spPr>
            <a:noFill/>
            <a:ln w="25400">
              <a:noFill/>
            </a:ln>
          </c:spPr>
        </c:title>
        <c:numFmt formatCode="0" sourceLinked="0"/>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71679744"/>
        <c:crosses val="autoZero"/>
        <c:crossBetween val="midCat"/>
        <c:majorUnit val="25"/>
      </c:valAx>
      <c:valAx>
        <c:axId val="171679744"/>
        <c:scaling>
          <c:orientation val="minMax"/>
          <c:max val="2"/>
          <c:min val="0"/>
        </c:scaling>
        <c:axPos val="l"/>
        <c:majorGridlines>
          <c:spPr>
            <a:ln w="3175">
              <a:solidFill>
                <a:srgbClr val="FFFFFF"/>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Wage</a:t>
                </a:r>
              </a:p>
            </c:rich>
          </c:tx>
          <c:spPr>
            <a:noFill/>
            <a:ln w="25400">
              <a:noFill/>
            </a:ln>
          </c:spPr>
        </c:title>
        <c:numFmt formatCode="#,##0.0" sourceLinked="0"/>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71677568"/>
        <c:crosses val="autoZero"/>
        <c:crossBetween val="midCat"/>
      </c:valAx>
      <c:spPr>
        <a:solidFill>
          <a:srgbClr val="FFFFFF"/>
        </a:solidFill>
        <a:ln w="25400">
          <a:noFill/>
        </a:ln>
      </c:spPr>
    </c:plotArea>
    <c:legend>
      <c:legendPos val="r"/>
      <c:legendEntry>
        <c:idx val="2"/>
        <c:delete val="1"/>
      </c:legendEntry>
      <c:layout>
        <c:manualLayout>
          <c:xMode val="edge"/>
          <c:yMode val="edge"/>
          <c:x val="0.16417919097692404"/>
          <c:y val="3.7815048903640416E-2"/>
          <c:w val="0.69610489771581108"/>
          <c:h val="4.3210338617986663E-2"/>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111" r="0.75000000000000111"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827981829598939"/>
          <c:y val="0.14705882352941191"/>
          <c:w val="0.8258081859210894"/>
          <c:h val="0.71218487394958185"/>
        </c:manualLayout>
      </c:layout>
      <c:scatterChart>
        <c:scatterStyle val="smoothMarker"/>
        <c:ser>
          <c:idx val="4"/>
          <c:order val="0"/>
          <c:tx>
            <c:v>Demand for X</c:v>
          </c:tx>
          <c:spPr>
            <a:ln w="12700">
              <a:solidFill>
                <a:srgbClr val="0070C0"/>
              </a:solidFill>
            </a:ln>
          </c:spPr>
          <c:marker>
            <c:symbol val="none"/>
          </c:marker>
          <c:xVal>
            <c:numRef>
              <c:f>Model!$AX$61:$AX$96</c:f>
              <c:numCache>
                <c:formatCode>General</c:formatCode>
                <c:ptCount val="36"/>
                <c:pt idx="0">
                  <c:v>462.81398881080298</c:v>
                </c:pt>
                <c:pt idx="1">
                  <c:v>357.25768577572086</c:v>
                </c:pt>
                <c:pt idx="2">
                  <c:v>290.90868569184681</c:v>
                </c:pt>
                <c:pt idx="3">
                  <c:v>245.34401200828378</c:v>
                </c:pt>
                <c:pt idx="4">
                  <c:v>212.11992595248117</c:v>
                </c:pt>
                <c:pt idx="5">
                  <c:v>186.8209390154544</c:v>
                </c:pt>
                <c:pt idx="6">
                  <c:v>166.91359280536264</c:v>
                </c:pt>
                <c:pt idx="7">
                  <c:v>150.84028829591264</c:v>
                </c:pt>
                <c:pt idx="8">
                  <c:v>137.59069544718375</c:v>
                </c:pt>
                <c:pt idx="9">
                  <c:v>126.48080444274278</c:v>
                </c:pt>
                <c:pt idx="10">
                  <c:v>117.0310236110443</c:v>
                </c:pt>
                <c:pt idx="11">
                  <c:v>108.89512453137159</c:v>
                </c:pt>
                <c:pt idx="12">
                  <c:v>101.81689871571577</c:v>
                </c:pt>
                <c:pt idx="13">
                  <c:v>95.60268658160831</c:v>
                </c:pt>
                <c:pt idx="14">
                  <c:v>90.103387626564043</c:v>
                </c:pt>
                <c:pt idx="15">
                  <c:v>85.202341788635621</c:v>
                </c:pt>
                <c:pt idx="16">
                  <c:v>80.80696183238318</c:v>
                </c:pt>
                <c:pt idx="17">
                  <c:v>76.842828666419308</c:v>
                </c:pt>
                <c:pt idx="18">
                  <c:v>73.249443377613346</c:v>
                </c:pt>
                <c:pt idx="19">
                  <c:v>69.97711790002613</c:v>
                </c:pt>
                <c:pt idx="20">
                  <c:v>66.984663475904199</c:v>
                </c:pt>
                <c:pt idx="21">
                  <c:v>64.23764788869002</c:v>
                </c:pt>
                <c:pt idx="22">
                  <c:v>61.707064624281855</c:v>
                </c:pt>
                <c:pt idx="23">
                  <c:v>59.368304673072423</c:v>
                </c:pt>
                <c:pt idx="24">
                  <c:v>57.200353612079823</c:v>
                </c:pt>
                <c:pt idx="25">
                  <c:v>55.185158410110262</c:v>
                </c:pt>
                <c:pt idx="26">
                  <c:v>53.307123524421598</c:v>
                </c:pt>
                <c:pt idx="27">
                  <c:v>51.552706502653749</c:v>
                </c:pt>
                <c:pt idx="28">
                  <c:v>49.910090896383416</c:v>
                </c:pt>
                <c:pt idx="29">
                  <c:v>48.3689197751916</c:v>
                </c:pt>
                <c:pt idx="30">
                  <c:v>46.920077134649461</c:v>
                </c:pt>
                <c:pt idx="31">
                  <c:v>45.555507447980098</c:v>
                </c:pt>
                <c:pt idx="32">
                  <c:v>44.268065815562338</c:v>
                </c:pt>
                <c:pt idx="33">
                  <c:v>43.051392825573032</c:v>
                </c:pt>
                <c:pt idx="34">
                  <c:v>41.899809498773742</c:v>
                </c:pt>
                <c:pt idx="35">
                  <c:v>40.808228654793297</c:v>
                </c:pt>
              </c:numCache>
            </c:numRef>
          </c:xVal>
          <c:yVal>
            <c:numRef>
              <c:f>Model!$AU$61:$AU$96</c:f>
              <c:numCache>
                <c:formatCode>General</c:formatCode>
                <c:ptCount val="36"/>
                <c:pt idx="0">
                  <c:v>0.36635681209236431</c:v>
                </c:pt>
                <c:pt idx="1">
                  <c:v>0.47460156711343698</c:v>
                </c:pt>
                <c:pt idx="2">
                  <c:v>0.5828463221345096</c:v>
                </c:pt>
                <c:pt idx="3">
                  <c:v>0.69109107715558227</c:v>
                </c:pt>
                <c:pt idx="4">
                  <c:v>0.79933583217665494</c:v>
                </c:pt>
                <c:pt idx="5">
                  <c:v>0.90758058719772761</c:v>
                </c:pt>
                <c:pt idx="6">
                  <c:v>1.0158253422188002</c:v>
                </c:pt>
                <c:pt idx="7">
                  <c:v>1.1240700972398727</c:v>
                </c:pt>
                <c:pt idx="8">
                  <c:v>1.2323148522609453</c:v>
                </c:pt>
                <c:pt idx="9">
                  <c:v>1.3405596072820178</c:v>
                </c:pt>
                <c:pt idx="10">
                  <c:v>1.4488043623030904</c:v>
                </c:pt>
                <c:pt idx="11">
                  <c:v>1.557049117324163</c:v>
                </c:pt>
                <c:pt idx="12">
                  <c:v>1.6652938723452355</c:v>
                </c:pt>
                <c:pt idx="13">
                  <c:v>1.7735386273663081</c:v>
                </c:pt>
                <c:pt idx="14">
                  <c:v>1.8817833823873806</c:v>
                </c:pt>
                <c:pt idx="15">
                  <c:v>1.9900281374084532</c:v>
                </c:pt>
                <c:pt idx="16">
                  <c:v>2.098272892429526</c:v>
                </c:pt>
                <c:pt idx="17">
                  <c:v>2.2065176474505988</c:v>
                </c:pt>
                <c:pt idx="18">
                  <c:v>2.3147624024716715</c:v>
                </c:pt>
                <c:pt idx="19">
                  <c:v>2.4230071574927443</c:v>
                </c:pt>
                <c:pt idx="20">
                  <c:v>2.5312519125138171</c:v>
                </c:pt>
                <c:pt idx="21">
                  <c:v>2.6394966675348899</c:v>
                </c:pt>
                <c:pt idx="22">
                  <c:v>2.7477414225559627</c:v>
                </c:pt>
                <c:pt idx="23">
                  <c:v>2.8559861775770354</c:v>
                </c:pt>
                <c:pt idx="24">
                  <c:v>2.9642309325981082</c:v>
                </c:pt>
                <c:pt idx="25">
                  <c:v>3.072475687619181</c:v>
                </c:pt>
                <c:pt idx="26">
                  <c:v>3.1807204426402538</c:v>
                </c:pt>
                <c:pt idx="27">
                  <c:v>3.2889651976613266</c:v>
                </c:pt>
                <c:pt idx="28">
                  <c:v>3.3972099526823993</c:v>
                </c:pt>
                <c:pt idx="29">
                  <c:v>3.5054547077034721</c:v>
                </c:pt>
                <c:pt idx="30">
                  <c:v>3.6136994627245449</c:v>
                </c:pt>
                <c:pt idx="31">
                  <c:v>3.7219442177456177</c:v>
                </c:pt>
                <c:pt idx="32">
                  <c:v>3.8301889727666905</c:v>
                </c:pt>
                <c:pt idx="33">
                  <c:v>3.9384337277877632</c:v>
                </c:pt>
                <c:pt idx="34">
                  <c:v>4.0466784828088356</c:v>
                </c:pt>
                <c:pt idx="35">
                  <c:v>4.154923237829907</c:v>
                </c:pt>
              </c:numCache>
            </c:numRef>
          </c:yVal>
          <c:smooth val="1"/>
        </c:ser>
        <c:ser>
          <c:idx val="0"/>
          <c:order val="1"/>
          <c:tx>
            <c:v>Supply of X</c:v>
          </c:tx>
          <c:spPr>
            <a:ln w="12700">
              <a:solidFill>
                <a:srgbClr val="0070C0"/>
              </a:solidFill>
            </a:ln>
          </c:spPr>
          <c:marker>
            <c:symbol val="none"/>
          </c:marker>
          <c:xVal>
            <c:numRef>
              <c:f>Model!$AW$61:$AW$96</c:f>
              <c:numCache>
                <c:formatCode>0.0</c:formatCode>
                <c:ptCount val="36"/>
                <c:pt idx="0">
                  <c:v>0</c:v>
                </c:pt>
                <c:pt idx="1">
                  <c:v>31.99716092179667</c:v>
                </c:pt>
                <c:pt idx="2">
                  <c:v>52.443902735238304</c:v>
                </c:pt>
                <c:pt idx="3">
                  <c:v>66.876986309343735</c:v>
                </c:pt>
                <c:pt idx="4">
                  <c:v>77.768243425970255</c:v>
                </c:pt>
                <c:pt idx="5">
                  <c:v>86.387672938809786</c:v>
                </c:pt>
                <c:pt idx="6">
                  <c:v>93.455573610952683</c:v>
                </c:pt>
                <c:pt idx="7">
                  <c:v>99.41168452854572</c:v>
                </c:pt>
                <c:pt idx="8">
                  <c:v>104.5402367390468</c:v>
                </c:pt>
                <c:pt idx="9">
                  <c:v>109.0335223351389</c:v>
                </c:pt>
                <c:pt idx="10">
                  <c:v>113.02658020190623</c:v>
                </c:pt>
                <c:pt idx="11">
                  <c:v>116.61723862767549</c:v>
                </c:pt>
                <c:pt idx="12">
                  <c:v>119.87825926838076</c:v>
                </c:pt>
                <c:pt idx="13">
                  <c:v>122.86499514325952</c:v>
                </c:pt>
                <c:pt idx="14">
                  <c:v>125.6203873982145</c:v>
                </c:pt>
                <c:pt idx="15">
                  <c:v>128.1783232542042</c:v>
                </c:pt>
                <c:pt idx="16">
                  <c:v>130.56595153151463</c:v>
                </c:pt>
                <c:pt idx="17">
                  <c:v>132.80531602222374</c:v>
                </c:pt>
                <c:pt idx="18">
                  <c:v>134.9145311383177</c:v>
                </c:pt>
                <c:pt idx="19">
                  <c:v>136.90864349635049</c:v>
                </c:pt>
                <c:pt idx="20">
                  <c:v>138.80027365852402</c:v>
                </c:pt>
                <c:pt idx="21">
                  <c:v>140.60010118557514</c:v>
                </c:pt>
                <c:pt idx="22">
                  <c:v>142.31723617561599</c:v>
                </c:pt>
                <c:pt idx="23">
                  <c:v>143.95950733533624</c:v>
                </c:pt>
                <c:pt idx="24">
                  <c:v>145.53368783720018</c:v>
                </c:pt>
                <c:pt idx="25">
                  <c:v>147.04567422241351</c:v>
                </c:pt>
                <c:pt idx="26">
                  <c:v>148.50062945710101</c:v>
                </c:pt>
                <c:pt idx="27">
                  <c:v>149.90309832951982</c:v>
                </c:pt>
                <c:pt idx="28">
                  <c:v>151.25710129492555</c:v>
                </c:pt>
                <c:pt idx="29">
                  <c:v>152.56621137220037</c:v>
                </c:pt>
                <c:pt idx="30">
                  <c:v>153.8336175987528</c:v>
                </c:pt>
                <c:pt idx="31">
                  <c:v>155.06217773953648</c:v>
                </c:pt>
                <c:pt idx="32">
                  <c:v>156.25446234111479</c:v>
                </c:pt>
                <c:pt idx="33">
                  <c:v>157.41279176596152</c:v>
                </c:pt>
                <c:pt idx="34">
                  <c:v>158.53926749572562</c:v>
                </c:pt>
                <c:pt idx="35">
                  <c:v>159.63579872656655</c:v>
                </c:pt>
              </c:numCache>
            </c:numRef>
          </c:xVal>
          <c:yVal>
            <c:numRef>
              <c:f>Model!$AU$61:$AU$96</c:f>
              <c:numCache>
                <c:formatCode>General</c:formatCode>
                <c:ptCount val="36"/>
                <c:pt idx="0">
                  <c:v>0.36635681209236431</c:v>
                </c:pt>
                <c:pt idx="1">
                  <c:v>0.47460156711343698</c:v>
                </c:pt>
                <c:pt idx="2">
                  <c:v>0.5828463221345096</c:v>
                </c:pt>
                <c:pt idx="3">
                  <c:v>0.69109107715558227</c:v>
                </c:pt>
                <c:pt idx="4">
                  <c:v>0.79933583217665494</c:v>
                </c:pt>
                <c:pt idx="5">
                  <c:v>0.90758058719772761</c:v>
                </c:pt>
                <c:pt idx="6">
                  <c:v>1.0158253422188002</c:v>
                </c:pt>
                <c:pt idx="7">
                  <c:v>1.1240700972398727</c:v>
                </c:pt>
                <c:pt idx="8">
                  <c:v>1.2323148522609453</c:v>
                </c:pt>
                <c:pt idx="9">
                  <c:v>1.3405596072820178</c:v>
                </c:pt>
                <c:pt idx="10">
                  <c:v>1.4488043623030904</c:v>
                </c:pt>
                <c:pt idx="11">
                  <c:v>1.557049117324163</c:v>
                </c:pt>
                <c:pt idx="12">
                  <c:v>1.6652938723452355</c:v>
                </c:pt>
                <c:pt idx="13">
                  <c:v>1.7735386273663081</c:v>
                </c:pt>
                <c:pt idx="14">
                  <c:v>1.8817833823873806</c:v>
                </c:pt>
                <c:pt idx="15">
                  <c:v>1.9900281374084532</c:v>
                </c:pt>
                <c:pt idx="16">
                  <c:v>2.098272892429526</c:v>
                </c:pt>
                <c:pt idx="17">
                  <c:v>2.2065176474505988</c:v>
                </c:pt>
                <c:pt idx="18">
                  <c:v>2.3147624024716715</c:v>
                </c:pt>
                <c:pt idx="19">
                  <c:v>2.4230071574927443</c:v>
                </c:pt>
                <c:pt idx="20">
                  <c:v>2.5312519125138171</c:v>
                </c:pt>
                <c:pt idx="21">
                  <c:v>2.6394966675348899</c:v>
                </c:pt>
                <c:pt idx="22">
                  <c:v>2.7477414225559627</c:v>
                </c:pt>
                <c:pt idx="23">
                  <c:v>2.8559861775770354</c:v>
                </c:pt>
                <c:pt idx="24">
                  <c:v>2.9642309325981082</c:v>
                </c:pt>
                <c:pt idx="25">
                  <c:v>3.072475687619181</c:v>
                </c:pt>
                <c:pt idx="26">
                  <c:v>3.1807204426402538</c:v>
                </c:pt>
                <c:pt idx="27">
                  <c:v>3.2889651976613266</c:v>
                </c:pt>
                <c:pt idx="28">
                  <c:v>3.3972099526823993</c:v>
                </c:pt>
                <c:pt idx="29">
                  <c:v>3.5054547077034721</c:v>
                </c:pt>
                <c:pt idx="30">
                  <c:v>3.6136994627245449</c:v>
                </c:pt>
                <c:pt idx="31">
                  <c:v>3.7219442177456177</c:v>
                </c:pt>
                <c:pt idx="32">
                  <c:v>3.8301889727666905</c:v>
                </c:pt>
                <c:pt idx="33">
                  <c:v>3.9384337277877632</c:v>
                </c:pt>
                <c:pt idx="34">
                  <c:v>4.0466784828088356</c:v>
                </c:pt>
                <c:pt idx="35">
                  <c:v>4.154923237829907</c:v>
                </c:pt>
              </c:numCache>
            </c:numRef>
          </c:yVal>
          <c:smooth val="1"/>
        </c:ser>
        <c:ser>
          <c:idx val="1"/>
          <c:order val="2"/>
          <c:tx>
            <c:v>Line 1</c:v>
          </c:tx>
          <c:spPr>
            <a:ln w="12700">
              <a:solidFill>
                <a:sysClr val="windowText" lastClr="000000"/>
              </a:solidFill>
              <a:prstDash val="dash"/>
            </a:ln>
          </c:spPr>
          <c:marker>
            <c:symbol val="none"/>
          </c:marker>
          <c:dPt>
            <c:idx val="1"/>
            <c:marker>
              <c:symbol val="circle"/>
              <c:size val="5"/>
              <c:spPr>
                <a:solidFill>
                  <a:sysClr val="windowText" lastClr="000000"/>
                </a:solidFill>
                <a:ln>
                  <a:noFill/>
                </a:ln>
              </c:spPr>
            </c:marker>
          </c:dPt>
          <c:xVal>
            <c:numRef>
              <c:f>Model!$BA$62:$BA$64</c:f>
              <c:numCache>
                <c:formatCode>0.00</c:formatCode>
                <c:ptCount val="3"/>
                <c:pt idx="0" formatCode="General">
                  <c:v>0</c:v>
                </c:pt>
                <c:pt idx="1">
                  <c:v>85.840955544057195</c:v>
                </c:pt>
                <c:pt idx="2">
                  <c:v>85.840955544057195</c:v>
                </c:pt>
              </c:numCache>
            </c:numRef>
          </c:xVal>
          <c:yVal>
            <c:numRef>
              <c:f>Model!$AZ$62:$AZ$64</c:f>
              <c:numCache>
                <c:formatCode>General</c:formatCode>
                <c:ptCount val="3"/>
                <c:pt idx="0">
                  <c:v>0.9</c:v>
                </c:pt>
                <c:pt idx="1">
                  <c:v>0.9</c:v>
                </c:pt>
                <c:pt idx="2">
                  <c:v>0</c:v>
                </c:pt>
              </c:numCache>
            </c:numRef>
          </c:yVal>
        </c:ser>
        <c:ser>
          <c:idx val="2"/>
          <c:order val="3"/>
          <c:tx>
            <c:v>Line 2</c:v>
          </c:tx>
          <c:spPr>
            <a:ln w="12700">
              <a:solidFill>
                <a:sysClr val="windowText" lastClr="000000"/>
              </a:solidFill>
              <a:prstDash val="dash"/>
            </a:ln>
          </c:spPr>
          <c:marker>
            <c:symbol val="none"/>
          </c:marker>
          <c:dPt>
            <c:idx val="1"/>
            <c:marker>
              <c:symbol val="circle"/>
              <c:size val="5"/>
              <c:spPr>
                <a:solidFill>
                  <a:sysClr val="windowText" lastClr="000000"/>
                </a:solidFill>
                <a:ln>
                  <a:noFill/>
                </a:ln>
              </c:spPr>
            </c:marker>
          </c:dPt>
          <c:xVal>
            <c:numRef>
              <c:f>Model!$BA$66:$BA$68</c:f>
              <c:numCache>
                <c:formatCode>0.00</c:formatCode>
                <c:ptCount val="3"/>
                <c:pt idx="0" formatCode="General">
                  <c:v>0</c:v>
                </c:pt>
                <c:pt idx="1">
                  <c:v>188.39450836941884</c:v>
                </c:pt>
                <c:pt idx="2">
                  <c:v>188.39450836941884</c:v>
                </c:pt>
              </c:numCache>
            </c:numRef>
          </c:xVal>
          <c:yVal>
            <c:numRef>
              <c:f>Model!$AZ$66:$AZ$68</c:f>
              <c:numCache>
                <c:formatCode>General</c:formatCode>
                <c:ptCount val="3"/>
                <c:pt idx="0">
                  <c:v>0.9</c:v>
                </c:pt>
                <c:pt idx="1">
                  <c:v>0.9</c:v>
                </c:pt>
                <c:pt idx="2">
                  <c:v>0</c:v>
                </c:pt>
              </c:numCache>
            </c:numRef>
          </c:yVal>
        </c:ser>
        <c:axId val="175262720"/>
        <c:axId val="175277184"/>
      </c:scatterChart>
      <c:valAx>
        <c:axId val="175262720"/>
        <c:scaling>
          <c:orientation val="minMax"/>
          <c:max val="200"/>
          <c:min val="0"/>
        </c:scaling>
        <c:axPos val="b"/>
        <c:title>
          <c:tx>
            <c:rich>
              <a:bodyPr/>
              <a:lstStyle/>
              <a:p>
                <a:pPr>
                  <a:defRPr sz="1000" b="1" i="0" u="none" strike="noStrike" baseline="0">
                    <a:solidFill>
                      <a:srgbClr val="000000"/>
                    </a:solidFill>
                    <a:latin typeface="Arial"/>
                    <a:ea typeface="Arial"/>
                    <a:cs typeface="Arial"/>
                  </a:defRPr>
                </a:pPr>
                <a:r>
                  <a:rPr lang="en-US"/>
                  <a:t>Quantity of X</a:t>
                </a:r>
              </a:p>
            </c:rich>
          </c:tx>
          <c:spPr>
            <a:noFill/>
            <a:ln w="25400">
              <a:noFill/>
            </a:ln>
          </c:spPr>
        </c:title>
        <c:numFmt formatCode="0" sourceLinked="0"/>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75277184"/>
        <c:crosses val="autoZero"/>
        <c:crossBetween val="midCat"/>
        <c:majorUnit val="25"/>
      </c:valAx>
      <c:valAx>
        <c:axId val="175277184"/>
        <c:scaling>
          <c:orientation val="minMax"/>
          <c:max val="3"/>
          <c:min val="0"/>
        </c:scaling>
        <c:axPos val="l"/>
        <c:majorGridlines>
          <c:spPr>
            <a:ln w="3175">
              <a:solidFill>
                <a:srgbClr val="FFFFFF"/>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Price of X</a:t>
                </a:r>
              </a:p>
            </c:rich>
          </c:tx>
          <c:spPr>
            <a:noFill/>
            <a:ln w="25400">
              <a:noFill/>
            </a:ln>
          </c:spPr>
        </c:title>
        <c:numFmt formatCode="#,##0.0" sourceLinked="0"/>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75262720"/>
        <c:crosses val="autoZero"/>
        <c:crossBetween val="midCat"/>
      </c:valAx>
      <c:spPr>
        <a:solidFill>
          <a:srgbClr val="FFFFFF"/>
        </a:solidFill>
        <a:ln w="25400">
          <a:noFill/>
        </a:ln>
      </c:spPr>
    </c:plotArea>
    <c:legend>
      <c:legendPos val="r"/>
      <c:legendEntry>
        <c:idx val="2"/>
        <c:delete val="1"/>
      </c:legendEntry>
      <c:legendEntry>
        <c:idx val="3"/>
        <c:delete val="1"/>
      </c:legendEntry>
      <c:layout>
        <c:manualLayout>
          <c:xMode val="edge"/>
          <c:yMode val="edge"/>
          <c:x val="0.19148556430446192"/>
          <c:y val="4.059296399609242E-2"/>
          <c:w val="0.64073934091571882"/>
          <c:h val="4.9803090757153119E-2"/>
        </c:manualLayout>
      </c:layout>
      <c:spPr>
        <a:solidFill>
          <a:srgbClr val="FFFFFF"/>
        </a:solidFill>
        <a:ln w="3175">
          <a:solidFill>
            <a:srgbClr val="000000"/>
          </a:solidFill>
          <a:prstDash val="solid"/>
        </a:ln>
      </c:spPr>
      <c:txPr>
        <a:bodyPr/>
        <a:lstStyle/>
        <a:p>
          <a:pPr>
            <a:defRPr sz="520"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7</xdr:row>
      <xdr:rowOff>28575</xdr:rowOff>
    </xdr:from>
    <xdr:to>
      <xdr:col>19</xdr:col>
      <xdr:colOff>514350</xdr:colOff>
      <xdr:row>46</xdr:row>
      <xdr:rowOff>123825</xdr:rowOff>
    </xdr:to>
    <xdr:pic>
      <xdr:nvPicPr>
        <xdr:cNvPr id="34117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914525" y="1162050"/>
          <a:ext cx="10182225" cy="6410325"/>
        </a:xfrm>
        <a:prstGeom prst="rect">
          <a:avLst/>
        </a:prstGeom>
        <a:noFill/>
        <a:ln w="1">
          <a:noFill/>
          <a:miter lim="800000"/>
          <a:headEnd/>
          <a:tailEnd/>
        </a:ln>
      </xdr:spPr>
    </xdr:pic>
    <xdr:clientData/>
  </xdr:twoCellAnchor>
  <xdr:twoCellAnchor>
    <xdr:from>
      <xdr:col>0</xdr:col>
      <xdr:colOff>91167</xdr:colOff>
      <xdr:row>0</xdr:row>
      <xdr:rowOff>104774</xdr:rowOff>
    </xdr:from>
    <xdr:to>
      <xdr:col>2</xdr:col>
      <xdr:colOff>495228</xdr:colOff>
      <xdr:row>6</xdr:row>
      <xdr:rowOff>51528</xdr:rowOff>
    </xdr:to>
    <xdr:sp macro="" textlink="">
      <xdr:nvSpPr>
        <xdr:cNvPr id="3" name="Rounded Rectangle 2"/>
        <xdr:cNvSpPr/>
      </xdr:nvSpPr>
      <xdr:spPr>
        <a:xfrm>
          <a:off x="91167" y="104774"/>
          <a:ext cx="1628704" cy="92646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a:t>
          </a:r>
          <a:r>
            <a:rPr lang="en-US" sz="1100" baseline="0"/>
            <a:t> factor use levels.</a:t>
          </a:r>
          <a:endParaRPr lang="en-US" sz="1100"/>
        </a:p>
      </xdr:txBody>
    </xdr:sp>
    <xdr:clientData/>
  </xdr:twoCellAnchor>
  <xdr:twoCellAnchor>
    <xdr:from>
      <xdr:col>0</xdr:col>
      <xdr:colOff>81642</xdr:colOff>
      <xdr:row>21</xdr:row>
      <xdr:rowOff>12758</xdr:rowOff>
    </xdr:from>
    <xdr:to>
      <xdr:col>2</xdr:col>
      <xdr:colOff>485703</xdr:colOff>
      <xdr:row>24</xdr:row>
      <xdr:rowOff>87538</xdr:rowOff>
    </xdr:to>
    <xdr:sp macro="" textlink="">
      <xdr:nvSpPr>
        <xdr:cNvPr id="4" name="Rounded Rectangle 3"/>
        <xdr:cNvSpPr/>
      </xdr:nvSpPr>
      <xdr:spPr>
        <a:xfrm>
          <a:off x="81642" y="3441758"/>
          <a:ext cx="1628704" cy="564637"/>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World prices (change with spinners).</a:t>
          </a:r>
        </a:p>
      </xdr:txBody>
    </xdr:sp>
    <xdr:clientData/>
  </xdr:twoCellAnchor>
  <xdr:twoCellAnchor>
    <xdr:from>
      <xdr:col>12</xdr:col>
      <xdr:colOff>40819</xdr:colOff>
      <xdr:row>0</xdr:row>
      <xdr:rowOff>104774</xdr:rowOff>
    </xdr:from>
    <xdr:to>
      <xdr:col>14</xdr:col>
      <xdr:colOff>308791</xdr:colOff>
      <xdr:row>6</xdr:row>
      <xdr:rowOff>51528</xdr:rowOff>
    </xdr:to>
    <xdr:sp macro="" textlink="">
      <xdr:nvSpPr>
        <xdr:cNvPr id="5" name="Rounded Rectangle 4"/>
        <xdr:cNvSpPr/>
      </xdr:nvSpPr>
      <xdr:spPr>
        <a:xfrm>
          <a:off x="7388676" y="104774"/>
          <a:ext cx="1492615" cy="92646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Unit value isoquant diagram (shows the solution for unit factor demands).</a:t>
          </a:r>
        </a:p>
      </xdr:txBody>
    </xdr:sp>
    <xdr:clientData/>
  </xdr:twoCellAnchor>
  <xdr:twoCellAnchor>
    <xdr:from>
      <xdr:col>14</xdr:col>
      <xdr:colOff>476250</xdr:colOff>
      <xdr:row>0</xdr:row>
      <xdr:rowOff>104774</xdr:rowOff>
    </xdr:from>
    <xdr:to>
      <xdr:col>17</xdr:col>
      <xdr:colOff>116938</xdr:colOff>
      <xdr:row>6</xdr:row>
      <xdr:rowOff>51528</xdr:rowOff>
    </xdr:to>
    <xdr:sp macro="" textlink="">
      <xdr:nvSpPr>
        <xdr:cNvPr id="6" name="Rounded Rectangle 5"/>
        <xdr:cNvSpPr/>
      </xdr:nvSpPr>
      <xdr:spPr>
        <a:xfrm>
          <a:off x="9048750" y="104774"/>
          <a:ext cx="1477652" cy="92646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Isoprice diagram (shows the solution</a:t>
          </a:r>
          <a:r>
            <a:rPr lang="en-US" sz="1100" baseline="0"/>
            <a:t> for factor prices).</a:t>
          </a:r>
          <a:endParaRPr lang="en-US" sz="1100"/>
        </a:p>
      </xdr:txBody>
    </xdr:sp>
    <xdr:clientData/>
  </xdr:twoCellAnchor>
  <xdr:twoCellAnchor>
    <xdr:from>
      <xdr:col>17</xdr:col>
      <xdr:colOff>244929</xdr:colOff>
      <xdr:row>0</xdr:row>
      <xdr:rowOff>95249</xdr:rowOff>
    </xdr:from>
    <xdr:to>
      <xdr:col>19</xdr:col>
      <xdr:colOff>567342</xdr:colOff>
      <xdr:row>6</xdr:row>
      <xdr:rowOff>35653</xdr:rowOff>
    </xdr:to>
    <xdr:sp macro="" textlink="">
      <xdr:nvSpPr>
        <xdr:cNvPr id="7" name="Rounded Rectangle 6"/>
        <xdr:cNvSpPr/>
      </xdr:nvSpPr>
      <xdr:spPr>
        <a:xfrm>
          <a:off x="10654393" y="95249"/>
          <a:ext cx="1547056" cy="92011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Output isoquant diagram (shows the solution for total</a:t>
          </a:r>
          <a:r>
            <a:rPr lang="en-US" sz="1100" baseline="0"/>
            <a:t> factor demands).</a:t>
          </a:r>
          <a:endParaRPr lang="en-US" sz="1100"/>
        </a:p>
      </xdr:txBody>
    </xdr:sp>
    <xdr:clientData/>
  </xdr:twoCellAnchor>
  <xdr:twoCellAnchor>
    <xdr:from>
      <xdr:col>20</xdr:col>
      <xdr:colOff>61231</xdr:colOff>
      <xdr:row>12</xdr:row>
      <xdr:rowOff>54854</xdr:rowOff>
    </xdr:from>
    <xdr:to>
      <xdr:col>22</xdr:col>
      <xdr:colOff>465293</xdr:colOff>
      <xdr:row>18</xdr:row>
      <xdr:rowOff>4782</xdr:rowOff>
    </xdr:to>
    <xdr:sp macro="" textlink="">
      <xdr:nvSpPr>
        <xdr:cNvPr id="8" name="Rounded Rectangle 7"/>
        <xdr:cNvSpPr/>
      </xdr:nvSpPr>
      <xdr:spPr>
        <a:xfrm>
          <a:off x="12307660" y="2014283"/>
          <a:ext cx="1628704" cy="92964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Edgeworth</a:t>
          </a:r>
          <a:r>
            <a:rPr lang="en-US" sz="1100" baseline="0"/>
            <a:t> production box (shows factor allocation solution).</a:t>
          </a:r>
          <a:endParaRPr lang="en-US" sz="1100"/>
        </a:p>
      </xdr:txBody>
    </xdr:sp>
    <xdr:clientData/>
  </xdr:twoCellAnchor>
  <xdr:twoCellAnchor>
    <xdr:from>
      <xdr:col>20</xdr:col>
      <xdr:colOff>84363</xdr:colOff>
      <xdr:row>19</xdr:row>
      <xdr:rowOff>95676</xdr:rowOff>
    </xdr:from>
    <xdr:to>
      <xdr:col>22</xdr:col>
      <xdr:colOff>491146</xdr:colOff>
      <xdr:row>25</xdr:row>
      <xdr:rowOff>45604</xdr:rowOff>
    </xdr:to>
    <xdr:sp macro="" textlink="">
      <xdr:nvSpPr>
        <xdr:cNvPr id="9" name="Rounded Rectangle 8"/>
        <xdr:cNvSpPr/>
      </xdr:nvSpPr>
      <xdr:spPr>
        <a:xfrm>
          <a:off x="12330792" y="3198105"/>
          <a:ext cx="1631425" cy="92964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Transformation</a:t>
          </a:r>
          <a:r>
            <a:rPr lang="en-US" sz="1100" baseline="0"/>
            <a:t> locus diagram (shows solution for production and consumption).</a:t>
          </a:r>
          <a:endParaRPr lang="en-US" sz="1100"/>
        </a:p>
      </xdr:txBody>
    </xdr:sp>
    <xdr:clientData/>
  </xdr:twoCellAnchor>
  <xdr:twoCellAnchor>
    <xdr:from>
      <xdr:col>20</xdr:col>
      <xdr:colOff>112938</xdr:colOff>
      <xdr:row>26</xdr:row>
      <xdr:rowOff>136497</xdr:rowOff>
    </xdr:from>
    <xdr:to>
      <xdr:col>22</xdr:col>
      <xdr:colOff>519721</xdr:colOff>
      <xdr:row>32</xdr:row>
      <xdr:rowOff>86425</xdr:rowOff>
    </xdr:to>
    <xdr:sp macro="" textlink="">
      <xdr:nvSpPr>
        <xdr:cNvPr id="10" name="Rounded Rectangle 9"/>
        <xdr:cNvSpPr/>
      </xdr:nvSpPr>
      <xdr:spPr>
        <a:xfrm>
          <a:off x="12359367" y="4381926"/>
          <a:ext cx="1631425" cy="92964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Offer</a:t>
          </a:r>
          <a:r>
            <a:rPr lang="en-US" sz="1100" baseline="0"/>
            <a:t> diagram (shows solution for trade).</a:t>
          </a:r>
          <a:endParaRPr lang="en-US" sz="1100"/>
        </a:p>
      </xdr:txBody>
    </xdr:sp>
    <xdr:clientData/>
  </xdr:twoCellAnchor>
  <xdr:twoCellAnchor>
    <xdr:from>
      <xdr:col>1</xdr:col>
      <xdr:colOff>119754</xdr:colOff>
      <xdr:row>47</xdr:row>
      <xdr:rowOff>93929</xdr:rowOff>
    </xdr:from>
    <xdr:to>
      <xdr:col>3</xdr:col>
      <xdr:colOff>526536</xdr:colOff>
      <xdr:row>53</xdr:row>
      <xdr:rowOff>56247</xdr:rowOff>
    </xdr:to>
    <xdr:sp macro="" textlink="">
      <xdr:nvSpPr>
        <xdr:cNvPr id="11" name="Rounded Rectangle 10"/>
        <xdr:cNvSpPr/>
      </xdr:nvSpPr>
      <xdr:spPr>
        <a:xfrm>
          <a:off x="732075" y="7768358"/>
          <a:ext cx="1631425" cy="942032"/>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Factor shares. Can be changed to simulate changes in technology.</a:t>
          </a:r>
        </a:p>
      </xdr:txBody>
    </xdr:sp>
    <xdr:clientData/>
  </xdr:twoCellAnchor>
  <xdr:twoCellAnchor>
    <xdr:from>
      <xdr:col>4</xdr:col>
      <xdr:colOff>416389</xdr:colOff>
      <xdr:row>47</xdr:row>
      <xdr:rowOff>93929</xdr:rowOff>
    </xdr:from>
    <xdr:to>
      <xdr:col>7</xdr:col>
      <xdr:colOff>208128</xdr:colOff>
      <xdr:row>53</xdr:row>
      <xdr:rowOff>56247</xdr:rowOff>
    </xdr:to>
    <xdr:sp macro="" textlink="">
      <xdr:nvSpPr>
        <xdr:cNvPr id="12" name="Rounded Rectangle 11"/>
        <xdr:cNvSpPr/>
      </xdr:nvSpPr>
      <xdr:spPr>
        <a:xfrm>
          <a:off x="2865675" y="7768358"/>
          <a:ext cx="1628703" cy="942032"/>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Consumption shares,</a:t>
          </a:r>
          <a:r>
            <a:rPr lang="en-US" sz="1100" baseline="0"/>
            <a:t> change the pattern of demand with the spinner.</a:t>
          </a:r>
          <a:endParaRPr lang="en-US" sz="1100"/>
        </a:p>
      </xdr:txBody>
    </xdr:sp>
    <xdr:clientData/>
  </xdr:twoCellAnchor>
  <xdr:twoCellAnchor>
    <xdr:from>
      <xdr:col>9</xdr:col>
      <xdr:colOff>84343</xdr:colOff>
      <xdr:row>0</xdr:row>
      <xdr:rowOff>103019</xdr:rowOff>
    </xdr:from>
    <xdr:to>
      <xdr:col>11</xdr:col>
      <xdr:colOff>491125</xdr:colOff>
      <xdr:row>6</xdr:row>
      <xdr:rowOff>60802</xdr:rowOff>
    </xdr:to>
    <xdr:sp macro="" textlink="">
      <xdr:nvSpPr>
        <xdr:cNvPr id="13" name="Rounded Rectangle 12"/>
        <xdr:cNvSpPr/>
      </xdr:nvSpPr>
      <xdr:spPr>
        <a:xfrm>
          <a:off x="5595236" y="103019"/>
          <a:ext cx="1631425" cy="937497"/>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Endowment of capital and labor (use the spinner to control).</a:t>
          </a:r>
        </a:p>
      </xdr:txBody>
    </xdr:sp>
    <xdr:clientData/>
  </xdr:twoCellAnchor>
  <xdr:twoCellAnchor>
    <xdr:from>
      <xdr:col>3</xdr:col>
      <xdr:colOff>81642</xdr:colOff>
      <xdr:row>0</xdr:row>
      <xdr:rowOff>104774</xdr:rowOff>
    </xdr:from>
    <xdr:to>
      <xdr:col>5</xdr:col>
      <xdr:colOff>485703</xdr:colOff>
      <xdr:row>6</xdr:row>
      <xdr:rowOff>51528</xdr:rowOff>
    </xdr:to>
    <xdr:sp macro="" textlink="">
      <xdr:nvSpPr>
        <xdr:cNvPr id="14" name="Rounded Rectangle 13"/>
        <xdr:cNvSpPr/>
      </xdr:nvSpPr>
      <xdr:spPr>
        <a:xfrm>
          <a:off x="1918606" y="104774"/>
          <a:ext cx="1628704" cy="92646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factor prices (wage and rental).</a:t>
          </a:r>
        </a:p>
      </xdr:txBody>
    </xdr:sp>
    <xdr:clientData/>
  </xdr:twoCellAnchor>
  <xdr:twoCellAnchor>
    <xdr:from>
      <xdr:col>0</xdr:col>
      <xdr:colOff>91167</xdr:colOff>
      <xdr:row>7</xdr:row>
      <xdr:rowOff>14513</xdr:rowOff>
    </xdr:from>
    <xdr:to>
      <xdr:col>2</xdr:col>
      <xdr:colOff>495228</xdr:colOff>
      <xdr:row>11</xdr:row>
      <xdr:rowOff>27213</xdr:rowOff>
    </xdr:to>
    <xdr:sp macro="" textlink="">
      <xdr:nvSpPr>
        <xdr:cNvPr id="15" name="Rounded Rectangle 14"/>
        <xdr:cNvSpPr/>
      </xdr:nvSpPr>
      <xdr:spPr>
        <a:xfrm>
          <a:off x="91167" y="1157513"/>
          <a:ext cx="1628704" cy="665843"/>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output levels</a:t>
          </a:r>
          <a:r>
            <a:rPr lang="en-US" sz="1100" baseline="0"/>
            <a:t>.</a:t>
          </a:r>
          <a:endParaRPr lang="en-US" sz="1100"/>
        </a:p>
      </xdr:txBody>
    </xdr:sp>
    <xdr:clientData/>
  </xdr:twoCellAnchor>
  <xdr:twoCellAnchor>
    <xdr:from>
      <xdr:col>0</xdr:col>
      <xdr:colOff>91167</xdr:colOff>
      <xdr:row>11</xdr:row>
      <xdr:rowOff>111124</xdr:rowOff>
    </xdr:from>
    <xdr:to>
      <xdr:col>2</xdr:col>
      <xdr:colOff>495228</xdr:colOff>
      <xdr:row>15</xdr:row>
      <xdr:rowOff>123824</xdr:rowOff>
    </xdr:to>
    <xdr:sp macro="" textlink="">
      <xdr:nvSpPr>
        <xdr:cNvPr id="16" name="Rounded Rectangle 15"/>
        <xdr:cNvSpPr/>
      </xdr:nvSpPr>
      <xdr:spPr>
        <a:xfrm>
          <a:off x="91167" y="1907267"/>
          <a:ext cx="1628704" cy="665843"/>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consumption levels.</a:t>
          </a:r>
        </a:p>
      </xdr:txBody>
    </xdr:sp>
    <xdr:clientData/>
  </xdr:twoCellAnchor>
  <xdr:twoCellAnchor>
    <xdr:from>
      <xdr:col>0</xdr:col>
      <xdr:colOff>81642</xdr:colOff>
      <xdr:row>16</xdr:row>
      <xdr:rowOff>36738</xdr:rowOff>
    </xdr:from>
    <xdr:to>
      <xdr:col>2</xdr:col>
      <xdr:colOff>485703</xdr:colOff>
      <xdr:row>20</xdr:row>
      <xdr:rowOff>105831</xdr:rowOff>
    </xdr:to>
    <xdr:sp macro="" textlink="">
      <xdr:nvSpPr>
        <xdr:cNvPr id="17" name="Rounded Rectangle 16"/>
        <xdr:cNvSpPr/>
      </xdr:nvSpPr>
      <xdr:spPr>
        <a:xfrm>
          <a:off x="81642" y="2649309"/>
          <a:ext cx="1628704" cy="722236"/>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Volume of trade (negative values</a:t>
          </a:r>
          <a:r>
            <a:rPr lang="en-US" sz="1100" baseline="0"/>
            <a:t> are imports).</a:t>
          </a:r>
          <a:endParaRPr lang="en-US" sz="1100"/>
        </a:p>
      </xdr:txBody>
    </xdr:sp>
    <xdr:clientData/>
  </xdr:twoCellAnchor>
  <xdr:twoCellAnchor>
    <xdr:from>
      <xdr:col>0</xdr:col>
      <xdr:colOff>91167</xdr:colOff>
      <xdr:row>25</xdr:row>
      <xdr:rowOff>17688</xdr:rowOff>
    </xdr:from>
    <xdr:to>
      <xdr:col>2</xdr:col>
      <xdr:colOff>495228</xdr:colOff>
      <xdr:row>29</xdr:row>
      <xdr:rowOff>30388</xdr:rowOff>
    </xdr:to>
    <xdr:sp macro="" textlink="">
      <xdr:nvSpPr>
        <xdr:cNvPr id="18" name="Rounded Rectangle 17"/>
        <xdr:cNvSpPr/>
      </xdr:nvSpPr>
      <xdr:spPr>
        <a:xfrm>
          <a:off x="91167" y="4099831"/>
          <a:ext cx="1628704" cy="665843"/>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National income (GDP).</a:t>
          </a:r>
        </a:p>
      </xdr:txBody>
    </xdr:sp>
    <xdr:clientData/>
  </xdr:twoCellAnchor>
  <xdr:twoCellAnchor>
    <xdr:from>
      <xdr:col>0</xdr:col>
      <xdr:colOff>91167</xdr:colOff>
      <xdr:row>29</xdr:row>
      <xdr:rowOff>149224</xdr:rowOff>
    </xdr:from>
    <xdr:to>
      <xdr:col>2</xdr:col>
      <xdr:colOff>495228</xdr:colOff>
      <xdr:row>33</xdr:row>
      <xdr:rowOff>161924</xdr:rowOff>
    </xdr:to>
    <xdr:sp macro="" textlink="">
      <xdr:nvSpPr>
        <xdr:cNvPr id="19" name="Rounded Rectangle 18"/>
        <xdr:cNvSpPr/>
      </xdr:nvSpPr>
      <xdr:spPr>
        <a:xfrm>
          <a:off x="91167" y="4884510"/>
          <a:ext cx="1628704" cy="665843"/>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Welfare index</a:t>
          </a:r>
          <a:r>
            <a:rPr lang="en-US" sz="1100" baseline="0"/>
            <a:t> (utility).</a:t>
          </a:r>
          <a:endParaRPr lang="en-US" sz="1100"/>
        </a:p>
      </xdr:txBody>
    </xdr:sp>
    <xdr:clientData/>
  </xdr:twoCellAnchor>
  <xdr:twoCellAnchor>
    <xdr:from>
      <xdr:col>0</xdr:col>
      <xdr:colOff>100692</xdr:colOff>
      <xdr:row>36</xdr:row>
      <xdr:rowOff>136524</xdr:rowOff>
    </xdr:from>
    <xdr:to>
      <xdr:col>2</xdr:col>
      <xdr:colOff>504753</xdr:colOff>
      <xdr:row>42</xdr:row>
      <xdr:rowOff>86452</xdr:rowOff>
    </xdr:to>
    <xdr:sp macro="" textlink="">
      <xdr:nvSpPr>
        <xdr:cNvPr id="20" name="Rounded Rectangle 19"/>
        <xdr:cNvSpPr/>
      </xdr:nvSpPr>
      <xdr:spPr>
        <a:xfrm>
          <a:off x="100692" y="6014810"/>
          <a:ext cx="1628704" cy="92964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unit factor</a:t>
          </a:r>
          <a:r>
            <a:rPr lang="en-US" sz="1100" baseline="0"/>
            <a:t> demands.</a:t>
          </a:r>
          <a:endParaRPr lang="en-US" sz="1100"/>
        </a:p>
      </xdr:txBody>
    </xdr:sp>
    <xdr:clientData/>
  </xdr:twoCellAnchor>
  <xdr:twoCellAnchor>
    <xdr:from>
      <xdr:col>2</xdr:col>
      <xdr:colOff>478983</xdr:colOff>
      <xdr:row>53</xdr:row>
      <xdr:rowOff>142915</xdr:rowOff>
    </xdr:from>
    <xdr:to>
      <xdr:col>5</xdr:col>
      <xdr:colOff>273444</xdr:colOff>
      <xdr:row>59</xdr:row>
      <xdr:rowOff>100697</xdr:rowOff>
    </xdr:to>
    <xdr:sp macro="" textlink="">
      <xdr:nvSpPr>
        <xdr:cNvPr id="21" name="Rounded Rectangle 20"/>
        <xdr:cNvSpPr/>
      </xdr:nvSpPr>
      <xdr:spPr>
        <a:xfrm>
          <a:off x="1703626" y="8797058"/>
          <a:ext cx="1631425" cy="937496"/>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Productivity</a:t>
          </a:r>
          <a:r>
            <a:rPr lang="en-US" sz="1100" baseline="0"/>
            <a:t> levels, increase to simulate improvements in technology.</a:t>
          </a:r>
          <a:endParaRPr lang="en-US" sz="1100"/>
        </a:p>
      </xdr:txBody>
    </xdr:sp>
    <xdr:clientData/>
  </xdr:twoCellAnchor>
  <xdr:twoCellAnchor>
    <xdr:from>
      <xdr:col>11</xdr:col>
      <xdr:colOff>530679</xdr:colOff>
      <xdr:row>6</xdr:row>
      <xdr:rowOff>51529</xdr:rowOff>
    </xdr:from>
    <xdr:to>
      <xdr:col>13</xdr:col>
      <xdr:colOff>174805</xdr:colOff>
      <xdr:row>13</xdr:row>
      <xdr:rowOff>40825</xdr:rowOff>
    </xdr:to>
    <xdr:cxnSp macro="">
      <xdr:nvCxnSpPr>
        <xdr:cNvPr id="22" name="Straight Arrow Connector 21"/>
        <xdr:cNvCxnSpPr>
          <a:stCxn id="5" idx="2"/>
        </xdr:cNvCxnSpPr>
      </xdr:nvCxnSpPr>
      <xdr:spPr bwMode="auto">
        <a:xfrm rot="5400000">
          <a:off x="7134452" y="1163006"/>
          <a:ext cx="1132296" cy="868769"/>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204107</xdr:colOff>
      <xdr:row>6</xdr:row>
      <xdr:rowOff>51528</xdr:rowOff>
    </xdr:from>
    <xdr:to>
      <xdr:col>15</xdr:col>
      <xdr:colOff>602755</xdr:colOff>
      <xdr:row>12</xdr:row>
      <xdr:rowOff>81645</xdr:rowOff>
    </xdr:to>
    <xdr:cxnSp macro="">
      <xdr:nvCxnSpPr>
        <xdr:cNvPr id="23" name="Straight Arrow Connector 22"/>
        <xdr:cNvCxnSpPr>
          <a:stCxn id="6" idx="2"/>
        </xdr:cNvCxnSpPr>
      </xdr:nvCxnSpPr>
      <xdr:spPr bwMode="auto">
        <a:xfrm rot="5400000">
          <a:off x="9083336" y="1336834"/>
          <a:ext cx="1009832" cy="398648"/>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13610</xdr:colOff>
      <xdr:row>6</xdr:row>
      <xdr:rowOff>35652</xdr:rowOff>
    </xdr:from>
    <xdr:to>
      <xdr:col>18</xdr:col>
      <xdr:colOff>406136</xdr:colOff>
      <xdr:row>12</xdr:row>
      <xdr:rowOff>81644</xdr:rowOff>
    </xdr:to>
    <xdr:cxnSp macro="">
      <xdr:nvCxnSpPr>
        <xdr:cNvPr id="24" name="Straight Arrow Connector 23"/>
        <xdr:cNvCxnSpPr>
          <a:stCxn id="7" idx="2"/>
        </xdr:cNvCxnSpPr>
      </xdr:nvCxnSpPr>
      <xdr:spPr bwMode="auto">
        <a:xfrm rot="5400000">
          <a:off x="10718805" y="1331957"/>
          <a:ext cx="1025707" cy="392526"/>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285750</xdr:colOff>
      <xdr:row>15</xdr:row>
      <xdr:rowOff>29817</xdr:rowOff>
    </xdr:from>
    <xdr:to>
      <xdr:col>20</xdr:col>
      <xdr:colOff>61231</xdr:colOff>
      <xdr:row>24</xdr:row>
      <xdr:rowOff>13605</xdr:rowOff>
    </xdr:to>
    <xdr:cxnSp macro="">
      <xdr:nvCxnSpPr>
        <xdr:cNvPr id="25" name="Straight Arrow Connector 24"/>
        <xdr:cNvCxnSpPr>
          <a:stCxn id="8" idx="1"/>
        </xdr:cNvCxnSpPr>
      </xdr:nvCxnSpPr>
      <xdr:spPr bwMode="auto">
        <a:xfrm rot="10800000" flipV="1">
          <a:off x="7021286" y="2479103"/>
          <a:ext cx="5286374" cy="1453359"/>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217715</xdr:colOff>
      <xdr:row>22</xdr:row>
      <xdr:rowOff>70639</xdr:rowOff>
    </xdr:from>
    <xdr:to>
      <xdr:col>20</xdr:col>
      <xdr:colOff>84363</xdr:colOff>
      <xdr:row>25</xdr:row>
      <xdr:rowOff>54427</xdr:rowOff>
    </xdr:to>
    <xdr:cxnSp macro="">
      <xdr:nvCxnSpPr>
        <xdr:cNvPr id="26" name="Straight Arrow Connector 25"/>
        <xdr:cNvCxnSpPr>
          <a:stCxn id="9" idx="1"/>
        </xdr:cNvCxnSpPr>
      </xdr:nvCxnSpPr>
      <xdr:spPr bwMode="auto">
        <a:xfrm rot="10800000" flipV="1">
          <a:off x="9402536" y="3662925"/>
          <a:ext cx="2928256" cy="473645"/>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312965</xdr:colOff>
      <xdr:row>29</xdr:row>
      <xdr:rowOff>111460</xdr:rowOff>
    </xdr:from>
    <xdr:to>
      <xdr:col>20</xdr:col>
      <xdr:colOff>112939</xdr:colOff>
      <xdr:row>29</xdr:row>
      <xdr:rowOff>122463</xdr:rowOff>
    </xdr:to>
    <xdr:cxnSp macro="">
      <xdr:nvCxnSpPr>
        <xdr:cNvPr id="27" name="Straight Arrow Connector 26"/>
        <xdr:cNvCxnSpPr>
          <a:stCxn id="10" idx="1"/>
        </xdr:cNvCxnSpPr>
      </xdr:nvCxnSpPr>
      <xdr:spPr bwMode="auto">
        <a:xfrm rot="10800000" flipV="1">
          <a:off x="11334751" y="4846746"/>
          <a:ext cx="1024617" cy="11003"/>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176893</xdr:colOff>
      <xdr:row>6</xdr:row>
      <xdr:rowOff>60802</xdr:rowOff>
    </xdr:from>
    <xdr:to>
      <xdr:col>10</xdr:col>
      <xdr:colOff>56415</xdr:colOff>
      <xdr:row>9</xdr:row>
      <xdr:rowOff>149682</xdr:rowOff>
    </xdr:to>
    <xdr:cxnSp macro="">
      <xdr:nvCxnSpPr>
        <xdr:cNvPr id="28" name="Straight Arrow Connector 27"/>
        <xdr:cNvCxnSpPr/>
      </xdr:nvCxnSpPr>
      <xdr:spPr bwMode="auto">
        <a:xfrm rot="5400000">
          <a:off x="5338178" y="777802"/>
          <a:ext cx="578737" cy="1104165"/>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283672</xdr:colOff>
      <xdr:row>6</xdr:row>
      <xdr:rowOff>51528</xdr:rowOff>
    </xdr:from>
    <xdr:to>
      <xdr:col>6</xdr:col>
      <xdr:colOff>231321</xdr:colOff>
      <xdr:row>8</xdr:row>
      <xdr:rowOff>136074</xdr:rowOff>
    </xdr:to>
    <xdr:cxnSp macro="">
      <xdr:nvCxnSpPr>
        <xdr:cNvPr id="29" name="Straight Arrow Connector 28"/>
        <xdr:cNvCxnSpPr>
          <a:stCxn id="14" idx="2"/>
        </xdr:cNvCxnSpPr>
      </xdr:nvCxnSpPr>
      <xdr:spPr bwMode="auto">
        <a:xfrm rot="16200000" flipH="1">
          <a:off x="3113545" y="650655"/>
          <a:ext cx="411118" cy="1172292"/>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495228</xdr:colOff>
      <xdr:row>3</xdr:row>
      <xdr:rowOff>37330</xdr:rowOff>
    </xdr:from>
    <xdr:to>
      <xdr:col>4</xdr:col>
      <xdr:colOff>512989</xdr:colOff>
      <xdr:row>9</xdr:row>
      <xdr:rowOff>48078</xdr:rowOff>
    </xdr:to>
    <xdr:cxnSp macro="">
      <xdr:nvCxnSpPr>
        <xdr:cNvPr id="30" name="Elbow Connector 29"/>
        <xdr:cNvCxnSpPr/>
      </xdr:nvCxnSpPr>
      <xdr:spPr bwMode="auto">
        <a:xfrm>
          <a:off x="1719871" y="527187"/>
          <a:ext cx="1242404" cy="990462"/>
        </a:xfrm>
        <a:prstGeom prst="bentConnector3">
          <a:avLst>
            <a:gd name="adj1" fmla="val 11667"/>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495228</xdr:colOff>
      <xdr:row>9</xdr:row>
      <xdr:rowOff>20864</xdr:rowOff>
    </xdr:from>
    <xdr:to>
      <xdr:col>4</xdr:col>
      <xdr:colOff>435428</xdr:colOff>
      <xdr:row>11</xdr:row>
      <xdr:rowOff>149678</xdr:rowOff>
    </xdr:to>
    <xdr:cxnSp macro="">
      <xdr:nvCxnSpPr>
        <xdr:cNvPr id="31" name="Straight Arrow Connector 30"/>
        <xdr:cNvCxnSpPr>
          <a:stCxn id="15" idx="3"/>
        </xdr:cNvCxnSpPr>
      </xdr:nvCxnSpPr>
      <xdr:spPr bwMode="auto">
        <a:xfrm>
          <a:off x="1719871" y="1490435"/>
          <a:ext cx="1164843" cy="455386"/>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495228</xdr:colOff>
      <xdr:row>13</xdr:row>
      <xdr:rowOff>54429</xdr:rowOff>
    </xdr:from>
    <xdr:to>
      <xdr:col>4</xdr:col>
      <xdr:colOff>449035</xdr:colOff>
      <xdr:row>13</xdr:row>
      <xdr:rowOff>117475</xdr:rowOff>
    </xdr:to>
    <xdr:cxnSp macro="">
      <xdr:nvCxnSpPr>
        <xdr:cNvPr id="32" name="Straight Arrow Connector 31"/>
        <xdr:cNvCxnSpPr>
          <a:stCxn id="16" idx="3"/>
        </xdr:cNvCxnSpPr>
      </xdr:nvCxnSpPr>
      <xdr:spPr bwMode="auto">
        <a:xfrm flipV="1">
          <a:off x="1719871" y="2177143"/>
          <a:ext cx="1178450" cy="63046"/>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485703</xdr:colOff>
      <xdr:row>14</xdr:row>
      <xdr:rowOff>95250</xdr:rowOff>
    </xdr:from>
    <xdr:to>
      <xdr:col>4</xdr:col>
      <xdr:colOff>476250</xdr:colOff>
      <xdr:row>18</xdr:row>
      <xdr:rowOff>71284</xdr:rowOff>
    </xdr:to>
    <xdr:cxnSp macro="">
      <xdr:nvCxnSpPr>
        <xdr:cNvPr id="33" name="Straight Arrow Connector 32"/>
        <xdr:cNvCxnSpPr>
          <a:stCxn id="17" idx="3"/>
        </xdr:cNvCxnSpPr>
      </xdr:nvCxnSpPr>
      <xdr:spPr bwMode="auto">
        <a:xfrm flipV="1">
          <a:off x="1710346" y="2381250"/>
          <a:ext cx="1215190" cy="629177"/>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485703</xdr:colOff>
      <xdr:row>16</xdr:row>
      <xdr:rowOff>40822</xdr:rowOff>
    </xdr:from>
    <xdr:to>
      <xdr:col>4</xdr:col>
      <xdr:colOff>435428</xdr:colOff>
      <xdr:row>22</xdr:row>
      <xdr:rowOff>131791</xdr:rowOff>
    </xdr:to>
    <xdr:cxnSp macro="">
      <xdr:nvCxnSpPr>
        <xdr:cNvPr id="34" name="Straight Arrow Connector 33"/>
        <xdr:cNvCxnSpPr>
          <a:stCxn id="4" idx="3"/>
        </xdr:cNvCxnSpPr>
      </xdr:nvCxnSpPr>
      <xdr:spPr bwMode="auto">
        <a:xfrm flipV="1">
          <a:off x="1710346" y="2653393"/>
          <a:ext cx="1174368" cy="1070684"/>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495228</xdr:colOff>
      <xdr:row>17</xdr:row>
      <xdr:rowOff>40822</xdr:rowOff>
    </xdr:from>
    <xdr:to>
      <xdr:col>4</xdr:col>
      <xdr:colOff>476250</xdr:colOff>
      <xdr:row>27</xdr:row>
      <xdr:rowOff>24039</xdr:rowOff>
    </xdr:to>
    <xdr:cxnSp macro="">
      <xdr:nvCxnSpPr>
        <xdr:cNvPr id="35" name="Straight Arrow Connector 34"/>
        <xdr:cNvCxnSpPr>
          <a:stCxn id="18" idx="3"/>
        </xdr:cNvCxnSpPr>
      </xdr:nvCxnSpPr>
      <xdr:spPr bwMode="auto">
        <a:xfrm flipV="1">
          <a:off x="1719871" y="2816679"/>
          <a:ext cx="1205665" cy="1616074"/>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495228</xdr:colOff>
      <xdr:row>18</xdr:row>
      <xdr:rowOff>27214</xdr:rowOff>
    </xdr:from>
    <xdr:to>
      <xdr:col>4</xdr:col>
      <xdr:colOff>503464</xdr:colOff>
      <xdr:row>31</xdr:row>
      <xdr:rowOff>155575</xdr:rowOff>
    </xdr:to>
    <xdr:cxnSp macro="">
      <xdr:nvCxnSpPr>
        <xdr:cNvPr id="36" name="Straight Arrow Connector 35"/>
        <xdr:cNvCxnSpPr>
          <a:stCxn id="19" idx="3"/>
        </xdr:cNvCxnSpPr>
      </xdr:nvCxnSpPr>
      <xdr:spPr bwMode="auto">
        <a:xfrm flipV="1">
          <a:off x="1719871" y="2966357"/>
          <a:ext cx="1232879" cy="2251075"/>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302723</xdr:colOff>
      <xdr:row>20</xdr:row>
      <xdr:rowOff>95250</xdr:rowOff>
    </xdr:from>
    <xdr:to>
      <xdr:col>5</xdr:col>
      <xdr:colOff>108857</xdr:colOff>
      <xdr:row>36</xdr:row>
      <xdr:rowOff>136524</xdr:rowOff>
    </xdr:to>
    <xdr:cxnSp macro="">
      <xdr:nvCxnSpPr>
        <xdr:cNvPr id="37" name="Elbow Connector 36"/>
        <xdr:cNvCxnSpPr>
          <a:stCxn id="20" idx="0"/>
        </xdr:cNvCxnSpPr>
      </xdr:nvCxnSpPr>
      <xdr:spPr bwMode="auto">
        <a:xfrm rot="5400000" flipH="1" flipV="1">
          <a:off x="715831" y="3560177"/>
          <a:ext cx="2653846" cy="2255420"/>
        </a:xfrm>
        <a:prstGeom prst="bentConnector3">
          <a:avLst>
            <a:gd name="adj1" fmla="val 9494"/>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323146</xdr:colOff>
      <xdr:row>15</xdr:row>
      <xdr:rowOff>136071</xdr:rowOff>
    </xdr:from>
    <xdr:to>
      <xdr:col>7</xdr:col>
      <xdr:colOff>163287</xdr:colOff>
      <xdr:row>47</xdr:row>
      <xdr:rowOff>93929</xdr:rowOff>
    </xdr:to>
    <xdr:cxnSp macro="">
      <xdr:nvCxnSpPr>
        <xdr:cNvPr id="38" name="Straight Arrow Connector 37"/>
        <xdr:cNvCxnSpPr>
          <a:stCxn id="11" idx="0"/>
        </xdr:cNvCxnSpPr>
      </xdr:nvCxnSpPr>
      <xdr:spPr bwMode="auto">
        <a:xfrm rot="5400000" flipH="1" flipV="1">
          <a:off x="407162" y="3725984"/>
          <a:ext cx="5183001" cy="2901748"/>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6098</xdr:colOff>
      <xdr:row>18</xdr:row>
      <xdr:rowOff>81643</xdr:rowOff>
    </xdr:from>
    <xdr:to>
      <xdr:col>8</xdr:col>
      <xdr:colOff>299360</xdr:colOff>
      <xdr:row>47</xdr:row>
      <xdr:rowOff>93929</xdr:rowOff>
    </xdr:to>
    <xdr:cxnSp macro="">
      <xdr:nvCxnSpPr>
        <xdr:cNvPr id="40" name="Straight Arrow Connector 39"/>
        <xdr:cNvCxnSpPr>
          <a:stCxn id="12" idx="0"/>
        </xdr:cNvCxnSpPr>
      </xdr:nvCxnSpPr>
      <xdr:spPr bwMode="auto">
        <a:xfrm rot="5400000" flipH="1" flipV="1">
          <a:off x="2065193" y="4635620"/>
          <a:ext cx="4747572" cy="1517904"/>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20</xdr:col>
      <xdr:colOff>77559</xdr:colOff>
      <xdr:row>5</xdr:row>
      <xdr:rowOff>57576</xdr:rowOff>
    </xdr:from>
    <xdr:to>
      <xdr:col>22</xdr:col>
      <xdr:colOff>481621</xdr:colOff>
      <xdr:row>11</xdr:row>
      <xdr:rowOff>7504</xdr:rowOff>
    </xdr:to>
    <xdr:sp macro="" textlink="">
      <xdr:nvSpPr>
        <xdr:cNvPr id="46" name="Rounded Rectangle 45"/>
        <xdr:cNvSpPr/>
      </xdr:nvSpPr>
      <xdr:spPr>
        <a:xfrm>
          <a:off x="12323988" y="874005"/>
          <a:ext cx="1628704" cy="92964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Factor budget</a:t>
          </a:r>
          <a:r>
            <a:rPr lang="en-US" sz="1100" baseline="0"/>
            <a:t> diagram.</a:t>
          </a:r>
          <a:endParaRPr lang="en-US" sz="1100"/>
        </a:p>
      </xdr:txBody>
    </xdr:sp>
    <xdr:clientData/>
  </xdr:twoCellAnchor>
  <xdr:twoCellAnchor>
    <xdr:from>
      <xdr:col>10</xdr:col>
      <xdr:colOff>383714</xdr:colOff>
      <xdr:row>47</xdr:row>
      <xdr:rowOff>91167</xdr:rowOff>
    </xdr:from>
    <xdr:to>
      <xdr:col>13</xdr:col>
      <xdr:colOff>178175</xdr:colOff>
      <xdr:row>53</xdr:row>
      <xdr:rowOff>37921</xdr:rowOff>
    </xdr:to>
    <xdr:sp macro="" textlink="">
      <xdr:nvSpPr>
        <xdr:cNvPr id="47" name="Rounded Rectangle 46"/>
        <xdr:cNvSpPr/>
      </xdr:nvSpPr>
      <xdr:spPr>
        <a:xfrm>
          <a:off x="6506928" y="7765596"/>
          <a:ext cx="1631426" cy="92646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Demand and supply for capital.</a:t>
          </a:r>
        </a:p>
      </xdr:txBody>
    </xdr:sp>
    <xdr:clientData/>
  </xdr:twoCellAnchor>
  <xdr:twoCellAnchor>
    <xdr:from>
      <xdr:col>13</xdr:col>
      <xdr:colOff>450393</xdr:colOff>
      <xdr:row>47</xdr:row>
      <xdr:rowOff>91167</xdr:rowOff>
    </xdr:from>
    <xdr:to>
      <xdr:col>16</xdr:col>
      <xdr:colOff>244854</xdr:colOff>
      <xdr:row>53</xdr:row>
      <xdr:rowOff>37921</xdr:rowOff>
    </xdr:to>
    <xdr:sp macro="" textlink="">
      <xdr:nvSpPr>
        <xdr:cNvPr id="48" name="Rounded Rectangle 47"/>
        <xdr:cNvSpPr/>
      </xdr:nvSpPr>
      <xdr:spPr>
        <a:xfrm>
          <a:off x="8410572" y="7765596"/>
          <a:ext cx="1631425" cy="92646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Demand and supply for good X.</a:t>
          </a:r>
        </a:p>
      </xdr:txBody>
    </xdr:sp>
    <xdr:clientData/>
  </xdr:twoCellAnchor>
  <xdr:twoCellAnchor>
    <xdr:from>
      <xdr:col>16</xdr:col>
      <xdr:colOff>533402</xdr:colOff>
      <xdr:row>47</xdr:row>
      <xdr:rowOff>81642</xdr:rowOff>
    </xdr:from>
    <xdr:to>
      <xdr:col>19</xdr:col>
      <xdr:colOff>327863</xdr:colOff>
      <xdr:row>53</xdr:row>
      <xdr:rowOff>22046</xdr:rowOff>
    </xdr:to>
    <xdr:sp macro="" textlink="">
      <xdr:nvSpPr>
        <xdr:cNvPr id="49" name="Rounded Rectangle 48"/>
        <xdr:cNvSpPr/>
      </xdr:nvSpPr>
      <xdr:spPr>
        <a:xfrm>
          <a:off x="10330545" y="7756071"/>
          <a:ext cx="1631425" cy="92011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Demand and supply for good Y.</a:t>
          </a:r>
        </a:p>
      </xdr:txBody>
    </xdr:sp>
    <xdr:clientData/>
  </xdr:twoCellAnchor>
  <xdr:twoCellAnchor>
    <xdr:from>
      <xdr:col>7</xdr:col>
      <xdr:colOff>357865</xdr:colOff>
      <xdr:row>47</xdr:row>
      <xdr:rowOff>107496</xdr:rowOff>
    </xdr:from>
    <xdr:to>
      <xdr:col>10</xdr:col>
      <xdr:colOff>152326</xdr:colOff>
      <xdr:row>53</xdr:row>
      <xdr:rowOff>54250</xdr:rowOff>
    </xdr:to>
    <xdr:sp macro="" textlink="">
      <xdr:nvSpPr>
        <xdr:cNvPr id="50" name="Rounded Rectangle 49"/>
        <xdr:cNvSpPr/>
      </xdr:nvSpPr>
      <xdr:spPr>
        <a:xfrm>
          <a:off x="4644115" y="7781925"/>
          <a:ext cx="1631425" cy="92646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Demand and supply for labor.</a:t>
          </a:r>
        </a:p>
      </xdr:txBody>
    </xdr:sp>
    <xdr:clientData/>
  </xdr:twoCellAnchor>
  <xdr:twoCellAnchor>
    <xdr:from>
      <xdr:col>7</xdr:col>
      <xdr:colOff>272144</xdr:colOff>
      <xdr:row>8</xdr:row>
      <xdr:rowOff>32539</xdr:rowOff>
    </xdr:from>
    <xdr:to>
      <xdr:col>20</xdr:col>
      <xdr:colOff>77560</xdr:colOff>
      <xdr:row>26</xdr:row>
      <xdr:rowOff>122463</xdr:rowOff>
    </xdr:to>
    <xdr:cxnSp macro="">
      <xdr:nvCxnSpPr>
        <xdr:cNvPr id="57" name="Straight Arrow Connector 56"/>
        <xdr:cNvCxnSpPr>
          <a:stCxn id="46" idx="1"/>
        </xdr:cNvCxnSpPr>
      </xdr:nvCxnSpPr>
      <xdr:spPr bwMode="auto">
        <a:xfrm rot="10800000" flipV="1">
          <a:off x="4558394" y="1338825"/>
          <a:ext cx="7765595" cy="3029067"/>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27215</xdr:colOff>
      <xdr:row>39</xdr:row>
      <xdr:rowOff>40821</xdr:rowOff>
    </xdr:from>
    <xdr:to>
      <xdr:col>18</xdr:col>
      <xdr:colOff>124473</xdr:colOff>
      <xdr:row>47</xdr:row>
      <xdr:rowOff>81642</xdr:rowOff>
    </xdr:to>
    <xdr:cxnSp macro="">
      <xdr:nvCxnSpPr>
        <xdr:cNvPr id="60" name="Straight Arrow Connector 59"/>
        <xdr:cNvCxnSpPr>
          <a:stCxn id="49" idx="0"/>
        </xdr:cNvCxnSpPr>
      </xdr:nvCxnSpPr>
      <xdr:spPr bwMode="auto">
        <a:xfrm rot="16200000" flipV="1">
          <a:off x="10424076" y="7033889"/>
          <a:ext cx="1347107" cy="97258"/>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27215</xdr:colOff>
      <xdr:row>39</xdr:row>
      <xdr:rowOff>81643</xdr:rowOff>
    </xdr:from>
    <xdr:to>
      <xdr:col>15</xdr:col>
      <xdr:colOff>41464</xdr:colOff>
      <xdr:row>47</xdr:row>
      <xdr:rowOff>91167</xdr:rowOff>
    </xdr:to>
    <xdr:cxnSp macro="">
      <xdr:nvCxnSpPr>
        <xdr:cNvPr id="64" name="Straight Arrow Connector 63"/>
        <xdr:cNvCxnSpPr>
          <a:stCxn id="48" idx="0"/>
        </xdr:cNvCxnSpPr>
      </xdr:nvCxnSpPr>
      <xdr:spPr bwMode="auto">
        <a:xfrm rot="16200000" flipV="1">
          <a:off x="8561256" y="7100566"/>
          <a:ext cx="1315810" cy="14249"/>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449039</xdr:colOff>
      <xdr:row>39</xdr:row>
      <xdr:rowOff>95250</xdr:rowOff>
    </xdr:from>
    <xdr:to>
      <xdr:col>11</xdr:col>
      <xdr:colOff>587106</xdr:colOff>
      <xdr:row>47</xdr:row>
      <xdr:rowOff>91167</xdr:rowOff>
    </xdr:to>
    <xdr:cxnSp macro="">
      <xdr:nvCxnSpPr>
        <xdr:cNvPr id="67" name="Straight Arrow Connector 66"/>
        <xdr:cNvCxnSpPr>
          <a:stCxn id="47" idx="0"/>
        </xdr:cNvCxnSpPr>
      </xdr:nvCxnSpPr>
      <xdr:spPr bwMode="auto">
        <a:xfrm rot="16200000" flipV="1">
          <a:off x="6602507" y="7045461"/>
          <a:ext cx="1302203" cy="138067"/>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68037</xdr:colOff>
      <xdr:row>39</xdr:row>
      <xdr:rowOff>136071</xdr:rowOff>
    </xdr:from>
    <xdr:to>
      <xdr:col>8</xdr:col>
      <xdr:colOff>561258</xdr:colOff>
      <xdr:row>47</xdr:row>
      <xdr:rowOff>107496</xdr:rowOff>
    </xdr:to>
    <xdr:cxnSp macro="">
      <xdr:nvCxnSpPr>
        <xdr:cNvPr id="70" name="Straight Arrow Connector 69"/>
        <xdr:cNvCxnSpPr>
          <a:stCxn id="50" idx="0"/>
        </xdr:cNvCxnSpPr>
      </xdr:nvCxnSpPr>
      <xdr:spPr bwMode="auto">
        <a:xfrm rot="16200000" flipV="1">
          <a:off x="4574363" y="6896459"/>
          <a:ext cx="1277711" cy="493221"/>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70052</xdr:colOff>
      <xdr:row>16</xdr:row>
      <xdr:rowOff>149680</xdr:rowOff>
    </xdr:from>
    <xdr:to>
      <xdr:col>7</xdr:col>
      <xdr:colOff>217713</xdr:colOff>
      <xdr:row>53</xdr:row>
      <xdr:rowOff>142916</xdr:rowOff>
    </xdr:to>
    <xdr:cxnSp macro="">
      <xdr:nvCxnSpPr>
        <xdr:cNvPr id="75" name="Straight Arrow Connector 74"/>
        <xdr:cNvCxnSpPr>
          <a:stCxn id="21" idx="0"/>
        </xdr:cNvCxnSpPr>
      </xdr:nvCxnSpPr>
      <xdr:spPr bwMode="auto">
        <a:xfrm rot="5400000" flipH="1" flipV="1">
          <a:off x="494247" y="4787342"/>
          <a:ext cx="6034808" cy="1984625"/>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557893</xdr:colOff>
      <xdr:row>0</xdr:row>
      <xdr:rowOff>92135</xdr:rowOff>
    </xdr:from>
    <xdr:to>
      <xdr:col>9</xdr:col>
      <xdr:colOff>27214</xdr:colOff>
      <xdr:row>6</xdr:row>
      <xdr:rowOff>49918</xdr:rowOff>
    </xdr:to>
    <xdr:sp macro="" textlink="">
      <xdr:nvSpPr>
        <xdr:cNvPr id="96" name="Rounded Rectangle 95"/>
        <xdr:cNvSpPr/>
      </xdr:nvSpPr>
      <xdr:spPr>
        <a:xfrm>
          <a:off x="3619500" y="92135"/>
          <a:ext cx="1918607" cy="937497"/>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Factor,</a:t>
          </a:r>
          <a:r>
            <a:rPr lang="en-US" sz="1100" baseline="0"/>
            <a:t> output, consumption and trade taxes (use spinners to control, negative values are subsidies).</a:t>
          </a:r>
          <a:endParaRPr lang="en-US" sz="1100"/>
        </a:p>
      </xdr:txBody>
    </xdr:sp>
    <xdr:clientData/>
  </xdr:twoCellAnchor>
  <xdr:twoCellAnchor>
    <xdr:from>
      <xdr:col>6</xdr:col>
      <xdr:colOff>149678</xdr:colOff>
      <xdr:row>6</xdr:row>
      <xdr:rowOff>49919</xdr:rowOff>
    </xdr:from>
    <xdr:to>
      <xdr:col>7</xdr:col>
      <xdr:colOff>292554</xdr:colOff>
      <xdr:row>10</xdr:row>
      <xdr:rowOff>81644</xdr:rowOff>
    </xdr:to>
    <xdr:cxnSp macro="">
      <xdr:nvCxnSpPr>
        <xdr:cNvPr id="107" name="Straight Arrow Connector 106"/>
        <xdr:cNvCxnSpPr>
          <a:stCxn id="96" idx="2"/>
        </xdr:cNvCxnSpPr>
      </xdr:nvCxnSpPr>
      <xdr:spPr bwMode="auto">
        <a:xfrm rot="5400000">
          <a:off x="3858772" y="994468"/>
          <a:ext cx="684868" cy="755197"/>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95251</xdr:colOff>
      <xdr:row>6</xdr:row>
      <xdr:rowOff>49918</xdr:rowOff>
    </xdr:from>
    <xdr:to>
      <xdr:col>7</xdr:col>
      <xdr:colOff>292555</xdr:colOff>
      <xdr:row>12</xdr:row>
      <xdr:rowOff>122464</xdr:rowOff>
    </xdr:to>
    <xdr:cxnSp macro="">
      <xdr:nvCxnSpPr>
        <xdr:cNvPr id="109" name="Straight Arrow Connector 108"/>
        <xdr:cNvCxnSpPr>
          <a:stCxn id="96" idx="2"/>
        </xdr:cNvCxnSpPr>
      </xdr:nvCxnSpPr>
      <xdr:spPr bwMode="auto">
        <a:xfrm rot="5400000">
          <a:off x="3647862" y="1150950"/>
          <a:ext cx="1052261" cy="809625"/>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108858</xdr:colOff>
      <xdr:row>6</xdr:row>
      <xdr:rowOff>49917</xdr:rowOff>
    </xdr:from>
    <xdr:to>
      <xdr:col>7</xdr:col>
      <xdr:colOff>292555</xdr:colOff>
      <xdr:row>13</xdr:row>
      <xdr:rowOff>149678</xdr:rowOff>
    </xdr:to>
    <xdr:cxnSp macro="">
      <xdr:nvCxnSpPr>
        <xdr:cNvPr id="111" name="Straight Arrow Connector 110"/>
        <xdr:cNvCxnSpPr>
          <a:stCxn id="96" idx="2"/>
        </xdr:cNvCxnSpPr>
      </xdr:nvCxnSpPr>
      <xdr:spPr bwMode="auto">
        <a:xfrm rot="5400000">
          <a:off x="3559415" y="1253003"/>
          <a:ext cx="1242761" cy="796018"/>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122464</xdr:colOff>
      <xdr:row>6</xdr:row>
      <xdr:rowOff>49919</xdr:rowOff>
    </xdr:from>
    <xdr:to>
      <xdr:col>7</xdr:col>
      <xdr:colOff>292554</xdr:colOff>
      <xdr:row>15</xdr:row>
      <xdr:rowOff>54429</xdr:rowOff>
    </xdr:to>
    <xdr:cxnSp macro="">
      <xdr:nvCxnSpPr>
        <xdr:cNvPr id="113" name="Straight Arrow Connector 112"/>
        <xdr:cNvCxnSpPr>
          <a:stCxn id="96" idx="2"/>
        </xdr:cNvCxnSpPr>
      </xdr:nvCxnSpPr>
      <xdr:spPr bwMode="auto">
        <a:xfrm rot="5400000">
          <a:off x="3450558" y="1375468"/>
          <a:ext cx="1474082" cy="782411"/>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0</xdr:colOff>
      <xdr:row>1</xdr:row>
      <xdr:rowOff>0</xdr:rowOff>
    </xdr:from>
    <xdr:to>
      <xdr:col>29</xdr:col>
      <xdr:colOff>876300</xdr:colOff>
      <xdr:row>27</xdr:row>
      <xdr:rowOff>0</xdr:rowOff>
    </xdr:to>
    <xdr:graphicFrame macro="">
      <xdr:nvGraphicFramePr>
        <xdr:cNvPr id="760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28575</xdr:colOff>
      <xdr:row>28</xdr:row>
      <xdr:rowOff>0</xdr:rowOff>
    </xdr:from>
    <xdr:to>
      <xdr:col>25</xdr:col>
      <xdr:colOff>0</xdr:colOff>
      <xdr:row>54</xdr:row>
      <xdr:rowOff>0</xdr:rowOff>
    </xdr:to>
    <xdr:graphicFrame macro="">
      <xdr:nvGraphicFramePr>
        <xdr:cNvPr id="7610"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142875</xdr:colOff>
      <xdr:row>28</xdr:row>
      <xdr:rowOff>0</xdr:rowOff>
    </xdr:from>
    <xdr:to>
      <xdr:col>20</xdr:col>
      <xdr:colOff>28575</xdr:colOff>
      <xdr:row>54</xdr:row>
      <xdr:rowOff>0</xdr:rowOff>
    </xdr:to>
    <xdr:graphicFrame macro="">
      <xdr:nvGraphicFramePr>
        <xdr:cNvPr id="7611"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28</xdr:row>
      <xdr:rowOff>0</xdr:rowOff>
    </xdr:from>
    <xdr:to>
      <xdr:col>29</xdr:col>
      <xdr:colOff>876300</xdr:colOff>
      <xdr:row>54</xdr:row>
      <xdr:rowOff>0</xdr:rowOff>
    </xdr:to>
    <xdr:graphicFrame macro="">
      <xdr:nvGraphicFramePr>
        <xdr:cNvPr id="7612"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1</xdr:row>
      <xdr:rowOff>0</xdr:rowOff>
    </xdr:from>
    <xdr:to>
      <xdr:col>20</xdr:col>
      <xdr:colOff>38100</xdr:colOff>
      <xdr:row>27</xdr:row>
      <xdr:rowOff>0</xdr:rowOff>
    </xdr:to>
    <xdr:graphicFrame macro="">
      <xdr:nvGraphicFramePr>
        <xdr:cNvPr id="7613"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28575</xdr:colOff>
      <xdr:row>1</xdr:row>
      <xdr:rowOff>0</xdr:rowOff>
    </xdr:from>
    <xdr:to>
      <xdr:col>25</xdr:col>
      <xdr:colOff>0</xdr:colOff>
      <xdr:row>27</xdr:row>
      <xdr:rowOff>0</xdr:rowOff>
    </xdr:to>
    <xdr:graphicFrame macro="">
      <xdr:nvGraphicFramePr>
        <xdr:cNvPr id="7614"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447675</xdr:colOff>
      <xdr:row>28</xdr:row>
      <xdr:rowOff>0</xdr:rowOff>
    </xdr:from>
    <xdr:to>
      <xdr:col>15</xdr:col>
      <xdr:colOff>19050</xdr:colOff>
      <xdr:row>54</xdr:row>
      <xdr:rowOff>0</xdr:rowOff>
    </xdr:to>
    <xdr:graphicFrame macro="">
      <xdr:nvGraphicFramePr>
        <xdr:cNvPr id="7615"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438150</xdr:colOff>
      <xdr:row>55</xdr:row>
      <xdr:rowOff>0</xdr:rowOff>
    </xdr:from>
    <xdr:to>
      <xdr:col>15</xdr:col>
      <xdr:colOff>28575</xdr:colOff>
      <xdr:row>81</xdr:row>
      <xdr:rowOff>0</xdr:rowOff>
    </xdr:to>
    <xdr:graphicFrame macro="">
      <xdr:nvGraphicFramePr>
        <xdr:cNvPr id="7616"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133350</xdr:colOff>
      <xdr:row>55</xdr:row>
      <xdr:rowOff>0</xdr:rowOff>
    </xdr:from>
    <xdr:to>
      <xdr:col>24</xdr:col>
      <xdr:colOff>876300</xdr:colOff>
      <xdr:row>81</xdr:row>
      <xdr:rowOff>0</xdr:rowOff>
    </xdr:to>
    <xdr:graphicFrame macro="">
      <xdr:nvGraphicFramePr>
        <xdr:cNvPr id="7617"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24</xdr:col>
      <xdr:colOff>866775</xdr:colOff>
      <xdr:row>55</xdr:row>
      <xdr:rowOff>0</xdr:rowOff>
    </xdr:from>
    <xdr:to>
      <xdr:col>30</xdr:col>
      <xdr:colOff>0</xdr:colOff>
      <xdr:row>81</xdr:row>
      <xdr:rowOff>0</xdr:rowOff>
    </xdr:to>
    <xdr:graphicFrame macro="">
      <xdr:nvGraphicFramePr>
        <xdr:cNvPr id="76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15</xdr:col>
      <xdr:colOff>28575</xdr:colOff>
      <xdr:row>55</xdr:row>
      <xdr:rowOff>0</xdr:rowOff>
    </xdr:from>
    <xdr:to>
      <xdr:col>20</xdr:col>
      <xdr:colOff>161925</xdr:colOff>
      <xdr:row>81</xdr:row>
      <xdr:rowOff>0</xdr:rowOff>
    </xdr:to>
    <xdr:graphicFrame macro="">
      <xdr:nvGraphicFramePr>
        <xdr:cNvPr id="7619"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tabSelected="1" zoomScale="70" zoomScaleNormal="70" workbookViewId="0">
      <selection activeCell="Y42" sqref="Y42"/>
    </sheetView>
  </sheetViews>
  <sheetFormatPr defaultRowHeight="12.75"/>
  <cols>
    <col min="1" max="16384" width="9.140625" style="84"/>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IV96"/>
  <sheetViews>
    <sheetView zoomScale="49" zoomScaleNormal="49" workbookViewId="0"/>
  </sheetViews>
  <sheetFormatPr defaultColWidth="0" defaultRowHeight="12.75" zeroHeight="1"/>
  <cols>
    <col min="1" max="2" width="1.7109375" style="2" customWidth="1"/>
    <col min="3" max="3" width="20.85546875" style="2" customWidth="1"/>
    <col min="4" max="4" width="3.5703125" style="2" customWidth="1"/>
    <col min="5" max="6" width="9.7109375" style="2" customWidth="1"/>
    <col min="7" max="7" width="3.7109375" style="2" customWidth="1"/>
    <col min="8" max="8" width="2.85546875" style="2" customWidth="1"/>
    <col min="9" max="9" width="9.7109375" style="2" customWidth="1"/>
    <col min="10" max="10" width="7" style="2" customWidth="1"/>
    <col min="11" max="11" width="4.28515625" style="2" customWidth="1"/>
    <col min="12" max="12" width="11.42578125" style="2" customWidth="1"/>
    <col min="13" max="13" width="10.42578125" style="2" customWidth="1"/>
    <col min="14" max="14" width="2.85546875" style="2" customWidth="1"/>
    <col min="15" max="15" width="1.7109375" style="2" customWidth="1"/>
    <col min="16" max="30" width="13.28515625" style="2" customWidth="1"/>
    <col min="31" max="31" width="3.42578125" style="2" customWidth="1"/>
    <col min="32" max="32" width="13.28515625" style="2" hidden="1" customWidth="1"/>
    <col min="33" max="34" width="8.7109375" style="2" hidden="1" customWidth="1"/>
    <col min="35" max="35" width="2.140625" style="2" hidden="1" customWidth="1"/>
    <col min="36" max="37" width="8.7109375" style="2" hidden="1" customWidth="1"/>
    <col min="38" max="38" width="2.140625" style="2" hidden="1" customWidth="1"/>
    <col min="39" max="40" width="8.7109375" style="2" hidden="1" customWidth="1"/>
    <col min="41" max="41" width="2.5703125" style="2" hidden="1" customWidth="1"/>
    <col min="42" max="43" width="8.7109375" style="2" hidden="1" customWidth="1"/>
    <col min="44" max="44" width="2.140625" style="2" hidden="1" customWidth="1"/>
    <col min="45" max="46" width="8.7109375" style="2" hidden="1" customWidth="1"/>
    <col min="47" max="47" width="2.140625" style="2" hidden="1" customWidth="1"/>
    <col min="48" max="52" width="8.7109375" style="2" hidden="1" customWidth="1"/>
    <col min="53" max="53" width="2.140625" style="2" hidden="1" customWidth="1"/>
    <col min="54" max="55" width="8.7109375" style="2" hidden="1" customWidth="1"/>
    <col min="56" max="56" width="8" style="2" hidden="1" customWidth="1"/>
    <col min="57" max="57" width="4.42578125" style="2" hidden="1" customWidth="1"/>
    <col min="58" max="58" width="9.7109375" style="2" hidden="1" customWidth="1"/>
    <col min="59" max="59" width="9" style="2" hidden="1" customWidth="1"/>
    <col min="60" max="61" width="8.7109375" style="2" hidden="1" customWidth="1"/>
    <col min="62" max="62" width="2.140625" style="2" hidden="1" customWidth="1"/>
    <col min="63" max="64" width="8.7109375" style="2" hidden="1" customWidth="1"/>
    <col min="65" max="65" width="2.140625" style="2" hidden="1" customWidth="1"/>
    <col min="66" max="70" width="8.7109375" style="2" hidden="1" customWidth="1"/>
    <col min="71" max="71" width="2.140625" style="2" hidden="1" customWidth="1"/>
    <col min="72" max="73" width="8.7109375" style="2" hidden="1" customWidth="1"/>
    <col min="74" max="74" width="2.140625" style="2" hidden="1" customWidth="1"/>
    <col min="75" max="76" width="8.7109375" style="2" hidden="1" customWidth="1"/>
    <col min="77" max="77" width="2.140625" style="2" hidden="1" customWidth="1"/>
    <col min="78" max="79" width="8.7109375" style="2" hidden="1" customWidth="1"/>
    <col min="80" max="80" width="2.140625" style="2" hidden="1" customWidth="1"/>
    <col min="81" max="82" width="8.7109375" style="2" hidden="1" customWidth="1"/>
    <col min="83" max="83" width="2.140625" style="2" hidden="1" customWidth="1"/>
    <col min="84" max="85" width="8.7109375" style="2" hidden="1" customWidth="1"/>
    <col min="86" max="86" width="2.140625" style="2" hidden="1" customWidth="1"/>
    <col min="87" max="91" width="8.7109375" style="2" hidden="1" customWidth="1"/>
    <col min="92" max="92" width="2.140625" style="2" hidden="1" customWidth="1"/>
    <col min="93" max="94" width="8.7109375" style="2" hidden="1" customWidth="1"/>
    <col min="95" max="95" width="2.140625" style="2" hidden="1" customWidth="1"/>
    <col min="96" max="97" width="8.7109375" style="2" hidden="1" customWidth="1"/>
    <col min="98" max="98" width="2.140625" style="2" hidden="1" customWidth="1"/>
    <col min="99" max="100" width="8.7109375" style="2" hidden="1" customWidth="1"/>
    <col min="101" max="101" width="2.140625" style="2" hidden="1" customWidth="1"/>
    <col min="102" max="103" width="8.7109375" style="2" hidden="1" customWidth="1"/>
    <col min="104" max="104" width="2.140625" style="2" hidden="1" customWidth="1"/>
    <col min="105" max="106" width="9.28515625" style="2" hidden="1" customWidth="1"/>
    <col min="107" max="107" width="2.140625" style="2" hidden="1" customWidth="1"/>
    <col min="108" max="109" width="8.7109375" style="2" hidden="1" customWidth="1"/>
    <col min="110" max="110" width="2.140625" style="2" hidden="1" customWidth="1"/>
    <col min="111" max="113" width="8.7109375" style="2" hidden="1" customWidth="1"/>
    <col min="114" max="121" width="8.85546875" style="2" hidden="1" customWidth="1"/>
    <col min="122" max="122" width="2.140625" style="2" hidden="1" customWidth="1"/>
    <col min="123" max="124" width="8.85546875" style="2" hidden="1" customWidth="1"/>
    <col min="125" max="125" width="2.140625" style="2" hidden="1" customWidth="1"/>
    <col min="126" max="127" width="8.85546875" style="2" hidden="1" customWidth="1"/>
    <col min="128" max="128" width="2.140625" style="2" hidden="1" customWidth="1"/>
    <col min="129" max="134" width="8.85546875" style="2" hidden="1" customWidth="1"/>
    <col min="135" max="154" width="9.140625" style="2" hidden="1" customWidth="1"/>
    <col min="155" max="155" width="0" style="2" hidden="1" customWidth="1"/>
    <col min="156" max="156" width="10.140625" style="2" hidden="1" customWidth="1"/>
    <col min="157" max="16384" width="0" style="2" hidden="1"/>
  </cols>
  <sheetData>
    <row r="1" spans="1:256" s="10" customFormat="1" ht="15.75" customHeight="1">
      <c r="A1" s="61"/>
      <c r="B1" s="61"/>
      <c r="C1" s="63" t="s">
        <v>87</v>
      </c>
      <c r="D1" s="64"/>
      <c r="E1" s="65"/>
      <c r="F1" s="65"/>
      <c r="G1" s="65"/>
      <c r="H1" s="65"/>
      <c r="I1" s="65"/>
      <c r="J1" s="65"/>
      <c r="K1" s="65"/>
      <c r="L1" s="65"/>
      <c r="M1" s="65"/>
      <c r="N1" s="65"/>
      <c r="O1" s="65"/>
      <c r="P1" s="61"/>
      <c r="Q1" s="61"/>
      <c r="R1" s="66" t="s">
        <v>47</v>
      </c>
      <c r="S1" s="61"/>
      <c r="T1" s="61"/>
      <c r="U1" s="61"/>
      <c r="V1" s="61"/>
      <c r="W1" s="66" t="s">
        <v>25</v>
      </c>
      <c r="X1" s="61"/>
      <c r="Y1" s="61"/>
      <c r="Z1" s="61"/>
      <c r="AA1" s="61"/>
      <c r="AB1" s="66" t="s">
        <v>48</v>
      </c>
      <c r="AC1" s="61"/>
      <c r="AD1" s="61"/>
      <c r="AE1" s="61"/>
      <c r="AF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c r="HS1" s="54"/>
      <c r="HT1" s="54"/>
      <c r="HU1" s="54"/>
      <c r="HV1" s="54"/>
      <c r="HW1" s="54"/>
      <c r="HX1" s="54"/>
      <c r="HY1" s="54"/>
      <c r="HZ1" s="54"/>
      <c r="IA1" s="54"/>
      <c r="IB1" s="54"/>
      <c r="IC1" s="54"/>
      <c r="ID1" s="54"/>
      <c r="IE1" s="54"/>
      <c r="IF1" s="54"/>
      <c r="IG1" s="54"/>
      <c r="IH1" s="54"/>
      <c r="II1" s="54"/>
      <c r="IJ1" s="54"/>
      <c r="IK1" s="54"/>
      <c r="IL1" s="54"/>
      <c r="IM1" s="54"/>
      <c r="IN1" s="54"/>
      <c r="IO1" s="54"/>
      <c r="IP1" s="54"/>
      <c r="IQ1" s="54"/>
      <c r="IR1" s="54"/>
      <c r="IS1" s="54"/>
      <c r="IT1" s="54"/>
      <c r="IU1" s="54"/>
      <c r="IV1" s="54"/>
    </row>
    <row r="2" spans="1:256" s="1" customFormat="1">
      <c r="A2" s="61"/>
      <c r="B2" s="13"/>
      <c r="C2" s="37"/>
      <c r="D2" s="37"/>
      <c r="E2" s="38"/>
      <c r="F2" s="38"/>
      <c r="G2" s="38"/>
      <c r="H2" s="38"/>
      <c r="I2" s="38"/>
      <c r="J2" s="38"/>
      <c r="K2" s="38"/>
      <c r="L2" s="38"/>
      <c r="M2" s="38"/>
      <c r="N2" s="38"/>
      <c r="O2" s="67"/>
      <c r="AE2" s="61"/>
      <c r="AG2" s="1" t="s">
        <v>12</v>
      </c>
      <c r="AY2" s="1" t="s">
        <v>42</v>
      </c>
      <c r="BQ2" s="1" t="s">
        <v>22</v>
      </c>
      <c r="CL2" s="1" t="s">
        <v>43</v>
      </c>
      <c r="DJ2" s="1" t="s">
        <v>23</v>
      </c>
      <c r="EG2" s="45" t="s">
        <v>65</v>
      </c>
      <c r="FC2" s="54"/>
      <c r="FD2" s="54"/>
      <c r="FE2" s="54"/>
      <c r="FF2" s="54"/>
      <c r="FG2" s="54"/>
      <c r="FH2" s="54"/>
      <c r="FI2" s="54"/>
      <c r="FJ2" s="54"/>
      <c r="FK2" s="54"/>
      <c r="FL2" s="54"/>
      <c r="FM2" s="54"/>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c r="HS2" s="54"/>
      <c r="HT2" s="54"/>
      <c r="HU2" s="54"/>
      <c r="HV2" s="54"/>
      <c r="HW2" s="54"/>
      <c r="HX2" s="54"/>
      <c r="HY2" s="54"/>
      <c r="HZ2" s="54"/>
      <c r="IA2" s="54"/>
      <c r="IB2" s="54"/>
      <c r="IC2" s="54"/>
      <c r="ID2" s="54"/>
      <c r="IE2" s="54"/>
      <c r="IF2" s="54"/>
      <c r="IG2" s="54"/>
      <c r="IH2" s="54"/>
      <c r="II2" s="54"/>
    </row>
    <row r="3" spans="1:256" s="1" customFormat="1">
      <c r="A3" s="61"/>
      <c r="B3" s="13"/>
      <c r="C3" s="35" t="s">
        <v>5</v>
      </c>
      <c r="D3" s="19"/>
      <c r="E3" s="26" t="s">
        <v>3</v>
      </c>
      <c r="F3" s="26" t="s">
        <v>4</v>
      </c>
      <c r="G3" s="26"/>
      <c r="H3" s="26"/>
      <c r="I3" s="27" t="s">
        <v>9</v>
      </c>
      <c r="J3" s="21"/>
      <c r="K3" s="21"/>
      <c r="L3" s="27" t="s">
        <v>52</v>
      </c>
      <c r="M3" s="18"/>
      <c r="N3" s="18"/>
      <c r="O3" s="61"/>
      <c r="S3" s="4"/>
      <c r="Z3" s="4"/>
      <c r="AE3" s="61"/>
      <c r="AG3" s="1" t="s">
        <v>20</v>
      </c>
      <c r="AJ3" s="1" t="s">
        <v>21</v>
      </c>
      <c r="AM3" s="45" t="s">
        <v>74</v>
      </c>
      <c r="AP3" s="45" t="s">
        <v>75</v>
      </c>
      <c r="AS3" s="1" t="s">
        <v>16</v>
      </c>
      <c r="AV3" s="1" t="s">
        <v>17</v>
      </c>
      <c r="AY3" s="1" t="s">
        <v>29</v>
      </c>
      <c r="BB3" s="1" t="s">
        <v>28</v>
      </c>
      <c r="BE3" s="45" t="s">
        <v>77</v>
      </c>
      <c r="BH3" s="45" t="s">
        <v>78</v>
      </c>
      <c r="BK3" s="1" t="s">
        <v>16</v>
      </c>
      <c r="BN3" s="1" t="s">
        <v>17</v>
      </c>
      <c r="BQ3" s="1" t="s">
        <v>19</v>
      </c>
      <c r="BT3" s="1" t="s">
        <v>18</v>
      </c>
      <c r="BW3" s="1" t="s">
        <v>15</v>
      </c>
      <c r="BZ3" s="1" t="s">
        <v>14</v>
      </c>
      <c r="CC3" s="1" t="s">
        <v>16</v>
      </c>
      <c r="CF3" s="1" t="s">
        <v>17</v>
      </c>
      <c r="CI3" s="1" t="s">
        <v>13</v>
      </c>
      <c r="CL3" s="1" t="s">
        <v>32</v>
      </c>
      <c r="CO3" s="1" t="s">
        <v>33</v>
      </c>
      <c r="CR3" s="1" t="s">
        <v>16</v>
      </c>
      <c r="CU3" s="1" t="s">
        <v>17</v>
      </c>
      <c r="CX3" s="45" t="s">
        <v>72</v>
      </c>
      <c r="DA3" s="45" t="s">
        <v>73</v>
      </c>
      <c r="DD3" s="1" t="s">
        <v>19</v>
      </c>
      <c r="DG3" s="1" t="s">
        <v>18</v>
      </c>
      <c r="DS3" s="1" t="s">
        <v>39</v>
      </c>
      <c r="DV3" s="1" t="s">
        <v>24</v>
      </c>
      <c r="DY3" s="45" t="s">
        <v>68</v>
      </c>
      <c r="EA3" s="45" t="s">
        <v>67</v>
      </c>
      <c r="EC3" s="45" t="s">
        <v>66</v>
      </c>
      <c r="EP3" s="1" t="s">
        <v>39</v>
      </c>
      <c r="ER3" s="1" t="s">
        <v>8</v>
      </c>
      <c r="ES3" s="1" t="s">
        <v>6</v>
      </c>
      <c r="EU3" s="1" t="s">
        <v>45</v>
      </c>
      <c r="EW3" s="1" t="s">
        <v>46</v>
      </c>
      <c r="FC3" s="54"/>
      <c r="FD3" s="54"/>
      <c r="FE3" s="54"/>
      <c r="FF3" s="54"/>
      <c r="FG3" s="54"/>
      <c r="FH3" s="54"/>
      <c r="FI3" s="54"/>
      <c r="FJ3" s="54"/>
      <c r="FK3" s="54"/>
      <c r="FL3" s="54"/>
      <c r="FM3" s="54"/>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c r="IH3" s="54"/>
      <c r="II3" s="54"/>
    </row>
    <row r="4" spans="1:256" s="5" customFormat="1">
      <c r="A4" s="62"/>
      <c r="B4" s="18"/>
      <c r="C4" s="36" t="s">
        <v>0</v>
      </c>
      <c r="D4" s="18"/>
      <c r="E4" s="29">
        <f>E9*E25</f>
        <v>74.6308942714371</v>
      </c>
      <c r="F4" s="30">
        <f>F9*F25</f>
        <v>25.369105728562896</v>
      </c>
      <c r="G4" s="32"/>
      <c r="H4" s="22"/>
      <c r="I4" s="31">
        <f>(E18*(1+E16/100)*(1+E10/100)/(L24*(1+E7/100)^L18*(1+E6/100)^L17*(F18*(1+F16/100)*(1+F10/100))^(L18/M18)*(M24*(1+F7/100)^M18*(1+F6/100)^M17)^(-L18/M18)))^(1/(L17-M17*L18/M18))</f>
        <v>0.87990813499251475</v>
      </c>
      <c r="J4" s="22"/>
      <c r="K4" s="22"/>
      <c r="L4" s="33">
        <v>100</v>
      </c>
      <c r="M4" s="18"/>
      <c r="N4" s="18"/>
      <c r="O4" s="68"/>
      <c r="AE4" s="62"/>
      <c r="AG4" s="5" t="s">
        <v>1</v>
      </c>
      <c r="AH4" s="5" t="s">
        <v>0</v>
      </c>
      <c r="AJ4" s="5" t="s">
        <v>1</v>
      </c>
      <c r="AK4" s="5" t="s">
        <v>0</v>
      </c>
      <c r="AM4" s="5" t="s">
        <v>1</v>
      </c>
      <c r="AN4" s="5" t="s">
        <v>0</v>
      </c>
      <c r="AP4" s="5" t="s">
        <v>1</v>
      </c>
      <c r="AQ4" s="5" t="s">
        <v>0</v>
      </c>
      <c r="AS4" s="5" t="s">
        <v>1</v>
      </c>
      <c r="AT4" s="5" t="s">
        <v>0</v>
      </c>
      <c r="AV4" s="5" t="s">
        <v>1</v>
      </c>
      <c r="AW4" s="5" t="s">
        <v>0</v>
      </c>
      <c r="AY4" s="5" t="s">
        <v>26</v>
      </c>
      <c r="AZ4" s="5" t="s">
        <v>27</v>
      </c>
      <c r="BB4" s="5" t="s">
        <v>26</v>
      </c>
      <c r="BC4" s="5" t="s">
        <v>27</v>
      </c>
      <c r="BE4" s="5" t="s">
        <v>26</v>
      </c>
      <c r="BF4" s="5" t="s">
        <v>27</v>
      </c>
      <c r="BH4" s="5" t="s">
        <v>26</v>
      </c>
      <c r="BI4" s="5" t="s">
        <v>27</v>
      </c>
      <c r="BK4" s="5" t="s">
        <v>1</v>
      </c>
      <c r="BL4" s="5" t="s">
        <v>0</v>
      </c>
      <c r="BN4" s="5" t="s">
        <v>1</v>
      </c>
      <c r="BO4" s="5" t="s">
        <v>0</v>
      </c>
      <c r="BQ4" s="5" t="s">
        <v>1</v>
      </c>
      <c r="BR4" s="5" t="s">
        <v>0</v>
      </c>
      <c r="BT4" s="5" t="s">
        <v>1</v>
      </c>
      <c r="BU4" s="5" t="s">
        <v>0</v>
      </c>
      <c r="BW4" s="5" t="s">
        <v>1</v>
      </c>
      <c r="BX4" s="5" t="s">
        <v>0</v>
      </c>
      <c r="BZ4" s="5" t="s">
        <v>1</v>
      </c>
      <c r="CA4" s="5" t="s">
        <v>0</v>
      </c>
      <c r="CC4" s="5" t="s">
        <v>1</v>
      </c>
      <c r="CD4" s="5" t="s">
        <v>0</v>
      </c>
      <c r="CF4" s="5" t="s">
        <v>1</v>
      </c>
      <c r="CG4" s="5" t="s">
        <v>0</v>
      </c>
      <c r="CI4" s="5" t="s">
        <v>1</v>
      </c>
      <c r="CJ4" s="5" t="s">
        <v>0</v>
      </c>
      <c r="CL4" s="5" t="s">
        <v>1</v>
      </c>
      <c r="CM4" s="5" t="s">
        <v>0</v>
      </c>
      <c r="CO4" s="5" t="s">
        <v>1</v>
      </c>
      <c r="CP4" s="5" t="s">
        <v>0</v>
      </c>
      <c r="CR4" s="5" t="s">
        <v>1</v>
      </c>
      <c r="CS4" s="5" t="s">
        <v>0</v>
      </c>
      <c r="CU4" s="5" t="s">
        <v>1</v>
      </c>
      <c r="CV4" s="5" t="s">
        <v>0</v>
      </c>
      <c r="CX4" s="5" t="s">
        <v>1</v>
      </c>
      <c r="CY4" s="5" t="s">
        <v>0</v>
      </c>
      <c r="DA4" s="5" t="s">
        <v>1</v>
      </c>
      <c r="DB4" s="5" t="s">
        <v>0</v>
      </c>
      <c r="DD4" s="5" t="s">
        <v>1</v>
      </c>
      <c r="DE4" s="5" t="s">
        <v>0</v>
      </c>
      <c r="DG4" s="5" t="s">
        <v>34</v>
      </c>
      <c r="DH4" s="5" t="s">
        <v>0</v>
      </c>
      <c r="DJ4" s="5" t="s">
        <v>30</v>
      </c>
      <c r="DK4" s="5" t="s">
        <v>40</v>
      </c>
      <c r="DL4" s="5" t="s">
        <v>41</v>
      </c>
      <c r="DM4" s="5" t="s">
        <v>31</v>
      </c>
      <c r="DN4" s="5" t="s">
        <v>35</v>
      </c>
      <c r="DO4" s="5" t="s">
        <v>36</v>
      </c>
      <c r="DP4" s="5" t="s">
        <v>37</v>
      </c>
      <c r="DQ4" s="5" t="s">
        <v>38</v>
      </c>
      <c r="DS4" s="5" t="s">
        <v>3</v>
      </c>
      <c r="DT4" s="5" t="s">
        <v>4</v>
      </c>
      <c r="DV4" s="5" t="s">
        <v>3</v>
      </c>
      <c r="DW4" s="5" t="s">
        <v>4</v>
      </c>
      <c r="DY4" s="5" t="s">
        <v>3</v>
      </c>
      <c r="DZ4" s="5" t="s">
        <v>4</v>
      </c>
      <c r="EF4" s="45" t="s">
        <v>79</v>
      </c>
      <c r="EG4" s="5" t="s">
        <v>30</v>
      </c>
      <c r="EH4" s="5" t="s">
        <v>40</v>
      </c>
      <c r="EI4" s="5" t="s">
        <v>41</v>
      </c>
      <c r="EJ4" s="5" t="s">
        <v>31</v>
      </c>
      <c r="EK4" s="5" t="s">
        <v>35</v>
      </c>
      <c r="EL4" s="5" t="s">
        <v>36</v>
      </c>
      <c r="EM4" s="5" t="s">
        <v>37</v>
      </c>
      <c r="EN4" s="5" t="s">
        <v>38</v>
      </c>
      <c r="EP4" s="5" t="s">
        <v>3</v>
      </c>
      <c r="EQ4" s="5" t="s">
        <v>4</v>
      </c>
      <c r="ES4" s="5" t="s">
        <v>3</v>
      </c>
      <c r="ET4" s="5" t="s">
        <v>4</v>
      </c>
      <c r="EU4" s="5" t="s">
        <v>3</v>
      </c>
      <c r="EV4" s="5" t="s">
        <v>4</v>
      </c>
      <c r="EW4" s="5" t="s">
        <v>3</v>
      </c>
      <c r="EX4" s="5" t="s">
        <v>4</v>
      </c>
    </row>
    <row r="5" spans="1:256" s="5" customFormat="1">
      <c r="A5" s="62"/>
      <c r="B5" s="18"/>
      <c r="C5" s="36" t="s">
        <v>1</v>
      </c>
      <c r="D5" s="18"/>
      <c r="E5" s="31">
        <f>E9*E26</f>
        <v>11.329823264812003</v>
      </c>
      <c r="F5" s="43">
        <f>F9*F26</f>
        <v>123.67017673518797</v>
      </c>
      <c r="G5" s="32"/>
      <c r="H5" s="22"/>
      <c r="I5" s="31">
        <f>(E18*(1+E16/100)*(1+E10/100)/(L24*(I4*(1+E6/100))^L17*(1+E7/100)^L18))^(1/L18)</f>
        <v>1.0228340484744547</v>
      </c>
      <c r="J5" s="22"/>
      <c r="K5" s="22"/>
      <c r="L5" s="33">
        <v>135</v>
      </c>
      <c r="M5" s="18"/>
      <c r="N5" s="18"/>
      <c r="O5" s="68"/>
      <c r="AE5" s="62"/>
      <c r="AG5" s="6">
        <v>2</v>
      </c>
      <c r="AH5" s="6">
        <f>((1/($E$18*(1+E16/100)*(1+E10/100)))/($L$20*AG5^$L$18))^(1/$L$17)</f>
        <v>0.60916180796569386</v>
      </c>
      <c r="AI5" s="6"/>
      <c r="AJ5" s="6">
        <v>2</v>
      </c>
      <c r="AK5" s="6">
        <f>((1/($F$18*(1+F16/100)*(1+F10/100)))/($M$20*AJ5^$M$18))^(1/$M$17)</f>
        <v>1.175696420638864E-3</v>
      </c>
      <c r="AL5" s="6"/>
      <c r="AM5" s="6">
        <f>1/($I$5*(1+E7/100))</f>
        <v>0.97767570554723771</v>
      </c>
      <c r="AN5" s="6">
        <v>0</v>
      </c>
      <c r="AO5" s="6"/>
      <c r="AP5" s="6">
        <f>1/($I$5*(1+F7/100))</f>
        <v>0.97767570554723771</v>
      </c>
      <c r="AQ5" s="6">
        <v>0</v>
      </c>
      <c r="AR5" s="6"/>
      <c r="AS5" s="6">
        <v>0</v>
      </c>
      <c r="AT5" s="6">
        <v>0</v>
      </c>
      <c r="AU5" s="6"/>
      <c r="AV5" s="6">
        <v>0</v>
      </c>
      <c r="AW5" s="6">
        <v>0</v>
      </c>
      <c r="AX5" s="6"/>
      <c r="AY5" s="6">
        <v>2</v>
      </c>
      <c r="AZ5" s="6">
        <f>(($E$18*(1+$E$16/100)*(1+E10/100))/((1/$L$20)*(($L$18/$L$17)^$L$17+($L$18/$L$17)^(-$L$18))*AY5^$L$18))^(1/$L$17)</f>
        <v>0.78170829015699217</v>
      </c>
      <c r="BA5" s="6"/>
      <c r="BB5" s="6">
        <v>2</v>
      </c>
      <c r="BC5" s="6">
        <f>(($F$18*(1+$F$16/100)*(1+F10/100))/((1/$M$20)*(($M$18/$M$17)^$M$17+($M$18/$M$17)^(-$M$18))*BB5^$M$18))^(1/$M$17)</f>
        <v>1.9686266404607369E-2</v>
      </c>
      <c r="BD5" s="6"/>
      <c r="BE5" s="6">
        <v>0</v>
      </c>
      <c r="BF5" s="6">
        <v>0</v>
      </c>
      <c r="BG5" s="6"/>
      <c r="BH5" s="6">
        <v>0</v>
      </c>
      <c r="BI5" s="6">
        <v>0</v>
      </c>
      <c r="BJ5" s="6"/>
      <c r="BK5" s="6">
        <f>(1/$E5)*($E9*$E18*(1+E16/100)*(1+E10/100))</f>
        <v>6.8188936564963623</v>
      </c>
      <c r="BL5" s="6">
        <v>0</v>
      </c>
      <c r="BM5" s="6"/>
      <c r="BN5" s="6">
        <f>(1/$F5)*($F9*$F18*(1+F16/100)*(1+F10/100))</f>
        <v>1.2033341746758275</v>
      </c>
      <c r="BO5" s="6">
        <v>0</v>
      </c>
      <c r="BQ5" s="6">
        <f>$L$5*1.5</f>
        <v>202.5</v>
      </c>
      <c r="BR5" s="6">
        <f>(($E$9)/($L$20*BQ5^$L$18))^(1/$L$17)</f>
        <v>44.868529986295179</v>
      </c>
      <c r="BS5" s="6"/>
      <c r="BT5" s="6">
        <f>L5*1.5</f>
        <v>202.5</v>
      </c>
      <c r="BU5" s="6">
        <f>(($F$9)/($M$20*BT5^$M$18))^(1/$M$17)</f>
        <v>1.5514277802497478</v>
      </c>
      <c r="BV5" s="6"/>
      <c r="BW5" s="6">
        <f>($E$18*(1+E16/100)*(1+E10/100))*$E$9/($I$5*(1+F7/100))</f>
        <v>75.532155098746657</v>
      </c>
      <c r="BX5" s="6">
        <v>0</v>
      </c>
      <c r="BY5" s="6"/>
      <c r="BZ5" s="6">
        <f>($F$18*(1+F16/100)*(1+F10/100))*$F$9/($I$5*(1+F7/100))</f>
        <v>145.49432557080917</v>
      </c>
      <c r="CA5" s="6">
        <v>0</v>
      </c>
      <c r="CB5" s="6"/>
      <c r="CC5" s="6">
        <v>0</v>
      </c>
      <c r="CD5" s="6">
        <v>0</v>
      </c>
      <c r="CE5" s="6"/>
      <c r="CF5" s="6">
        <v>0</v>
      </c>
      <c r="CG5" s="6">
        <v>0</v>
      </c>
      <c r="CI5" s="6">
        <v>0</v>
      </c>
      <c r="CJ5" s="6">
        <v>0</v>
      </c>
      <c r="CK5" s="6"/>
      <c r="CL5" s="6">
        <v>0</v>
      </c>
      <c r="CM5" s="6">
        <f>$L$4</f>
        <v>100</v>
      </c>
      <c r="CN5" s="6"/>
      <c r="CO5" s="6">
        <f>$L$5</f>
        <v>135</v>
      </c>
      <c r="CP5" s="6">
        <v>0</v>
      </c>
      <c r="CQ5" s="6"/>
      <c r="CR5" s="6">
        <v>0</v>
      </c>
      <c r="CS5" s="6">
        <v>0</v>
      </c>
      <c r="CT5" s="6"/>
      <c r="CU5" s="6">
        <f>$L$5</f>
        <v>135</v>
      </c>
      <c r="CV5" s="6">
        <f>$L$4</f>
        <v>100</v>
      </c>
      <c r="CW5" s="6"/>
      <c r="CX5" s="6">
        <f>$E$18*(1+$E$16/100)*(1+$E$10/100)*$E$9/($I$5*(1+$E$7/100))</f>
        <v>75.532155098746657</v>
      </c>
      <c r="CY5" s="6">
        <v>0</v>
      </c>
      <c r="CZ5" s="6"/>
      <c r="DA5" s="6">
        <f>L5-$F$18*(1+$F$16/100)*(1+$F$10/100)*$F$9/($I$5*(1+$F$7/100))</f>
        <v>-10.494325570809167</v>
      </c>
      <c r="DB5" s="6">
        <f>L4</f>
        <v>100</v>
      </c>
      <c r="DC5" s="6"/>
      <c r="DD5" s="6">
        <f>$L$5</f>
        <v>135</v>
      </c>
      <c r="DE5" s="6">
        <f>(($E$9)/($L$20*DD5^$L$18))^(1/$L$17)</f>
        <v>48.196640717595152</v>
      </c>
      <c r="DF5" s="6"/>
      <c r="DG5" s="6">
        <f t="shared" ref="DG5:DG40" si="0">$L$5-(($F$9)/($M$20*($L$4-DH5)^$M$17))^(1/$M$18)</f>
        <v>37.744846844201916</v>
      </c>
      <c r="DH5" s="6">
        <v>1</v>
      </c>
      <c r="DI5" s="6"/>
      <c r="DJ5" s="6">
        <f>(DM5/(DL5^(1/($L$18-$M$18))*DK5^(1/($M$18-$L$18))))^($L$18-$M$18)</f>
        <v>0.36635681209236431</v>
      </c>
      <c r="DK5" s="6">
        <f t="shared" ref="DK5:DK40" si="1">(1/$L$20)*(($L$18/$L$17)^$L$17+($L$18/$L$17)^(-$L$18))</f>
        <v>1.0000000000000004</v>
      </c>
      <c r="DL5" s="6">
        <f t="shared" ref="DL5:DL40" si="2">(1/$M$20)*(($M$18/$M$17)^$M$17+($M$18/$M$17)^(-$M$18))</f>
        <v>1.0000000000000002</v>
      </c>
      <c r="DM5" s="6">
        <f>-($M$18*$L$18*$L$4)/(DO5*($M$18-$L$18)+$L$5*($L$18*$M$18-$M$18))</f>
        <v>4.1975308641975388</v>
      </c>
      <c r="DN5" s="6">
        <v>0</v>
      </c>
      <c r="DO5" s="6">
        <f t="shared" ref="DO5:DO39" si="3">$L$5-DN5</f>
        <v>135</v>
      </c>
      <c r="DP5" s="6">
        <v>0</v>
      </c>
      <c r="DQ5" s="6">
        <f t="shared" ref="DQ5:DQ39" si="4">$L$4-DP5</f>
        <v>100</v>
      </c>
      <c r="DR5" s="6"/>
      <c r="DS5" s="6">
        <v>0</v>
      </c>
      <c r="DT5" s="6">
        <f>$M$20*$L$5^$M$18*$L$4^$M$17</f>
        <v>196.95360184664824</v>
      </c>
      <c r="DV5" s="6">
        <f>$E$20</f>
        <v>226.0734100433026</v>
      </c>
      <c r="DW5" s="6">
        <f>($E$22/(1.62144018576844*DV5^$L$22))^(1/$M$22)</f>
        <v>32.707379925246293</v>
      </c>
      <c r="DX5" s="6"/>
      <c r="DY5" s="6">
        <f>($E$9*$E$18+$F$9*$F$18)/$E$18</f>
        <v>251.19267782589176</v>
      </c>
      <c r="DZ5" s="6">
        <v>0</v>
      </c>
      <c r="EA5" s="6">
        <f>$E$20/($E$18*(1+$E$16/100)*(1+E13/100))</f>
        <v>251.19267782589176</v>
      </c>
      <c r="EB5" s="6">
        <v>0</v>
      </c>
      <c r="EC5" s="6">
        <f>($E$9*$E$18*(1+$E$16/100)*(1+E10/100)+$F$9*$F$18*(1+$F$16/100)*(1+F10/100))/($E$18*(1+$E$16/100)*(1+E10/100))</f>
        <v>251.19267782589176</v>
      </c>
      <c r="ED5" s="6">
        <v>0</v>
      </c>
      <c r="EF5" s="6">
        <f>($EJ5/($EI5^(1/($L$18-$M$18))*$EH5^(1/($M$18-$L$18))))^($L$18-$M$18)</f>
        <v>0.36635681209236431</v>
      </c>
      <c r="EG5" s="6">
        <f>($EJ$5/($EI$5^(1/($L$18-$M$18))*$EH5^(1/($M$18-$L$18))))^($L$18-$M$18)</f>
        <v>0.36635681209236431</v>
      </c>
      <c r="EH5" s="6">
        <f t="shared" ref="EH5:EH40" si="5">(1/$L$20)*(($L$18/$L$17)^$L$17+($L$18/$L$17)^(-$L$18))</f>
        <v>1.0000000000000004</v>
      </c>
      <c r="EI5" s="6">
        <f t="shared" ref="EI5:EI40" si="6">(1/$M$20)*(($M$18/$M$17)^$M$17+($M$18/$M$17)^(-$M$18))</f>
        <v>1.0000000000000002</v>
      </c>
      <c r="EJ5" s="6">
        <f>-($M$18*$L$18*$L$4)/(EL5*($M$18-$L$18)+$L$5*($L$18*$M$18-$M$18))</f>
        <v>4.1975308641975388</v>
      </c>
      <c r="EK5" s="6">
        <v>0</v>
      </c>
      <c r="EL5" s="6">
        <f t="shared" ref="EL5:EL39" si="7">$L$5-EK5</f>
        <v>135</v>
      </c>
      <c r="EM5" s="6">
        <v>0</v>
      </c>
      <c r="EN5" s="6">
        <f t="shared" ref="EN5:EN39" si="8">$L$4-EM5</f>
        <v>100</v>
      </c>
      <c r="EO5" s="6"/>
      <c r="EP5" s="6">
        <v>0</v>
      </c>
      <c r="EQ5" s="6">
        <f>$M$20*$L$5^$M$18*$L$4^$M$17</f>
        <v>196.95360184664824</v>
      </c>
      <c r="ER5" s="6">
        <f>$EG5*EP5+EQ5</f>
        <v>196.95360184664824</v>
      </c>
      <c r="ES5" s="6">
        <f t="shared" ref="ES5:ES40" si="9">$L$22*ER5/EG5</f>
        <v>403.20036780903331</v>
      </c>
      <c r="ET5" s="6">
        <f t="shared" ref="ET5:ET40" si="10">$M$22*ER5/1</f>
        <v>49.23840046166206</v>
      </c>
      <c r="EU5" s="6">
        <f>EP5-ES5</f>
        <v>-403.20036780903331</v>
      </c>
      <c r="EV5" s="6">
        <f>ET5-EQ5</f>
        <v>-147.71520138498619</v>
      </c>
      <c r="EW5" s="6">
        <v>0</v>
      </c>
      <c r="EX5" s="6">
        <v>0</v>
      </c>
    </row>
    <row r="6" spans="1:256" s="5" customFormat="1">
      <c r="A6" s="62"/>
      <c r="B6" s="18"/>
      <c r="C6" s="36" t="s">
        <v>61</v>
      </c>
      <c r="D6" s="18"/>
      <c r="E6" s="34">
        <f>(G6-500)/10</f>
        <v>0</v>
      </c>
      <c r="F6" s="34">
        <f>(H6-500)/10</f>
        <v>0</v>
      </c>
      <c r="G6" s="50">
        <v>500</v>
      </c>
      <c r="H6" s="50">
        <v>500</v>
      </c>
      <c r="I6" s="32"/>
      <c r="J6" s="22"/>
      <c r="K6" s="22"/>
      <c r="L6" s="41"/>
      <c r="M6" s="18"/>
      <c r="N6" s="18"/>
      <c r="O6" s="68"/>
      <c r="AE6" s="62"/>
      <c r="AG6" s="6">
        <f t="shared" ref="AG6:AG40" si="11">((1/($E$18*(1+$E$16/100)*(1+$E$10/100)))/($L$20*AH6^$L$17))^(1/$L$18)</f>
        <v>1.3980012580558991</v>
      </c>
      <c r="AH6" s="6">
        <f>AH5+(AH$40-AH$5)/35</f>
        <v>0.6489000420238169</v>
      </c>
      <c r="AI6" s="6"/>
      <c r="AJ6" s="6">
        <f t="shared" ref="AJ6:AJ40" si="12">((1/($F$18*(1+$F$16/100)*(1+$F$10/100)))/($M$20*AK6^$M$17))^(1/$M$18)</f>
        <v>1.0043064056418407</v>
      </c>
      <c r="AK6" s="6">
        <f>AK5+(AK$40-AK$5)/35</f>
        <v>5.828496223719204E-2</v>
      </c>
      <c r="AL6" s="6"/>
      <c r="AM6" s="6">
        <v>0</v>
      </c>
      <c r="AN6" s="6">
        <f>1/($I$4*(1+E6/100))</f>
        <v>1.1364822760827265</v>
      </c>
      <c r="AO6" s="6"/>
      <c r="AP6" s="6">
        <v>0</v>
      </c>
      <c r="AQ6" s="6">
        <f>1/($I$4*(1+F6/100))</f>
        <v>1.1364822760827265</v>
      </c>
      <c r="AR6" s="6"/>
      <c r="AS6" s="6">
        <f>$E$5/($E$9*$E$18*(1+$E$16/100)*(1+$E$10/100))</f>
        <v>0.14665135583208569</v>
      </c>
      <c r="AT6" s="6">
        <f>$E$4/($E$9*$E$18*(1+$E$16/100)*(1+$E$10/100))</f>
        <v>0.9660099346703177</v>
      </c>
      <c r="AU6" s="6"/>
      <c r="AV6" s="6">
        <f>$F$5/($F$9*$F$18*(1+$F$16/100)*(1+$F$10/100))</f>
        <v>0.83102434971515315</v>
      </c>
      <c r="AW6" s="6">
        <f>$F$4/($F$9*$F$18*(1+$F$16/100)*(1+$F$10/100))</f>
        <v>0.17047234141240919</v>
      </c>
      <c r="AX6" s="6"/>
      <c r="AY6" s="6">
        <f t="shared" ref="AY6:AY40" si="13">(($E$18*(1+$E$16/100)*(1+$E$10/100))/((1/$L$20)*(($L$18/$L$17)^$L$17+($L$18/$L$17)^(-$L$18))*AZ6^$L$17))^(1/$L$18)</f>
        <v>1.5624814990040654</v>
      </c>
      <c r="AZ6" s="6">
        <f>AZ5+(AZ$40-AZ$5)/35</f>
        <v>0.81651662472393527</v>
      </c>
      <c r="BA6" s="6"/>
      <c r="BB6" s="6">
        <f t="shared" ref="BB6:BB40" si="14">(($F$18*(1+$F$16/100)*(1+$F$10/100))/((1/$M$20)*(($M$18/$M$17)^$M$17+($M$18/$M$17)^(-$M$18))*BC6^$M$17))^(1/$M$18)</f>
        <v>1.5748349676792159</v>
      </c>
      <c r="BC6" s="6">
        <f>BC5+(BC$40-BC$5)/35</f>
        <v>7.6266658793047157E-2</v>
      </c>
      <c r="BD6" s="6"/>
      <c r="BE6" s="6">
        <f>$I5*(1+E7/100)</f>
        <v>1.0228340484744547</v>
      </c>
      <c r="BF6" s="6">
        <f>$I4*(1+E6/100)</f>
        <v>0.87990813499251475</v>
      </c>
      <c r="BG6" s="6"/>
      <c r="BH6" s="6">
        <f>$I5*(1+F7/100)</f>
        <v>1.0228340484744547</v>
      </c>
      <c r="BI6" s="6">
        <f>$I4*(1+F6/100)</f>
        <v>0.87990813499251475</v>
      </c>
      <c r="BJ6" s="6"/>
      <c r="BK6" s="6">
        <v>0</v>
      </c>
      <c r="BL6" s="6">
        <f>(1/$E4)*($E9*$E18*(1+E16/100)*(1+E10/100))</f>
        <v>1.0351860411676641</v>
      </c>
      <c r="BM6" s="6"/>
      <c r="BN6" s="6">
        <v>0</v>
      </c>
      <c r="BO6" s="6">
        <f>(1/$F4)*($F9*$F18*(1+F16/100)*(1+F10/100))</f>
        <v>5.8660542332834238</v>
      </c>
      <c r="BQ6" s="6">
        <f t="shared" ref="BQ6:BQ40" si="15">(($E$9)/($L$20*BR6^$L$17))^(1/$L$18)</f>
        <v>140.26581411259272</v>
      </c>
      <c r="BR6" s="6">
        <f>BR5+(BR$40-BR$5)/35</f>
        <v>47.872286272401034</v>
      </c>
      <c r="BS6" s="6"/>
      <c r="BT6" s="6">
        <f t="shared" ref="BT6:BT40" si="16">(($F$9)/($M$20*BU6^$M$17))^(1/$M$18)</f>
        <v>160.49294434435078</v>
      </c>
      <c r="BU6" s="6">
        <f>BU5+(BU$40-BU$5)/35</f>
        <v>5.7928155579568976</v>
      </c>
      <c r="BV6" s="6"/>
      <c r="BW6" s="6">
        <v>0</v>
      </c>
      <c r="BX6" s="6">
        <f>($E$18*(1+E16/100)*(1+E10/100))*$E$9/($I$4*(1+E6/100))</f>
        <v>87.801052084043619</v>
      </c>
      <c r="BY6" s="6"/>
      <c r="BZ6" s="6">
        <v>0</v>
      </c>
      <c r="CA6" s="6">
        <f>($F$18*(1+F16/100)*(1+F10/100))*$F$9/($I$4*(1+F6/100))</f>
        <v>169.1273715237524</v>
      </c>
      <c r="CB6" s="6"/>
      <c r="CC6" s="6">
        <f>$E$5</f>
        <v>11.329823264812003</v>
      </c>
      <c r="CD6" s="6">
        <f>$E$4</f>
        <v>74.6308942714371</v>
      </c>
      <c r="CE6" s="6"/>
      <c r="CF6" s="6">
        <f>$F$5</f>
        <v>123.67017673518797</v>
      </c>
      <c r="CG6" s="6">
        <f>$F$4</f>
        <v>25.369105728562896</v>
      </c>
      <c r="CI6" s="6">
        <f>$L$5</f>
        <v>135</v>
      </c>
      <c r="CJ6" s="6">
        <f>$L$4</f>
        <v>100</v>
      </c>
      <c r="CK6" s="6"/>
      <c r="CL6" s="6">
        <f>$L$5</f>
        <v>135</v>
      </c>
      <c r="CM6" s="6">
        <f>$L$4</f>
        <v>100</v>
      </c>
      <c r="CN6" s="6"/>
      <c r="CO6" s="6">
        <f>$L$5</f>
        <v>135</v>
      </c>
      <c r="CP6" s="6">
        <f>$L$4</f>
        <v>100</v>
      </c>
      <c r="CQ6" s="6"/>
      <c r="CR6" s="6">
        <f>$E$5</f>
        <v>11.329823264812003</v>
      </c>
      <c r="CS6" s="6">
        <f>$E$4</f>
        <v>74.6308942714371</v>
      </c>
      <c r="CT6" s="6"/>
      <c r="CU6" s="6">
        <f>$L$5-$F$5</f>
        <v>11.329823264812035</v>
      </c>
      <c r="CV6" s="6">
        <f>$L$4-$F$4</f>
        <v>74.6308942714371</v>
      </c>
      <c r="CW6" s="6"/>
      <c r="CX6" s="6">
        <v>0</v>
      </c>
      <c r="CY6" s="6">
        <f>$E$18*(1+$E$16/100)*(1+$E$10/100)*$E$9/($I$4*(1+$E$6/100))</f>
        <v>87.801052084043619</v>
      </c>
      <c r="CZ6" s="6"/>
      <c r="DA6" s="6">
        <f>L5</f>
        <v>135</v>
      </c>
      <c r="DB6" s="6">
        <f>L4-$F$18*(1+$F$16/100)*(1+$F$10/100)*$F$9/($I$4*(1+$F$6/100))</f>
        <v>-69.127371523752402</v>
      </c>
      <c r="DC6" s="6"/>
      <c r="DD6" s="6">
        <f t="shared" ref="DD6:DD40" si="17">(($E$9)/($L$20*DE6^$L$17))^(1/$L$18)</f>
        <v>113.73517312570183</v>
      </c>
      <c r="DE6" s="6">
        <f>DE5+(DE$40-DE$5)/35</f>
        <v>49.67673669709243</v>
      </c>
      <c r="DF6" s="6"/>
      <c r="DG6" s="6">
        <f t="shared" si="0"/>
        <v>37.251192634659517</v>
      </c>
      <c r="DH6" s="6">
        <f>DH5+(DH$40-DH$5)/35</f>
        <v>3.8</v>
      </c>
      <c r="DI6" s="6"/>
      <c r="DJ6" s="6">
        <f>DJ5+($DJ$40-$DJ$5)/35</f>
        <v>0.47460156711343698</v>
      </c>
      <c r="DK6" s="6">
        <f t="shared" si="1"/>
        <v>1.0000000000000004</v>
      </c>
      <c r="DL6" s="6">
        <f t="shared" si="2"/>
        <v>1.0000000000000002</v>
      </c>
      <c r="DM6" s="6">
        <f t="shared" ref="DM6:DM39" si="18">DJ6^(1/($L$18-$M$18))*DL6^(1/($L$18-$M$18))*DK6^(1/($M$18-$L$18))</f>
        <v>2.8999259147475787</v>
      </c>
      <c r="DN6" s="6">
        <f t="shared" ref="DN6:DN39" si="19">-($L$4*$M$18-DM6*$L$5+DM6*$L$5*$M$18)*($L$18/(DM6*($L$18-$M$18)))</f>
        <v>1.9416629201800588</v>
      </c>
      <c r="DO6" s="6">
        <f t="shared" si="3"/>
        <v>133.05833707981995</v>
      </c>
      <c r="DP6" s="6">
        <f t="shared" ref="DP6:DP39" si="20">DM6*(1/$L$18-1)*DN6</f>
        <v>31.907178846296127</v>
      </c>
      <c r="DQ6" s="6">
        <f t="shared" si="4"/>
        <v>68.092821153703881</v>
      </c>
      <c r="DR6" s="6"/>
      <c r="DS6" s="6">
        <f t="shared" ref="DS6:DS39" si="21">$L$20*DN6^$L$18*DP6^$L$17</f>
        <v>31.99716092179667</v>
      </c>
      <c r="DT6" s="6">
        <f t="shared" ref="DT6:DT39" si="22">$M$20*DO6^$M$18*DQ6^$M$17</f>
        <v>183.64588489965331</v>
      </c>
      <c r="DV6" s="6">
        <f>($E$22/(1.62144018576844*DW6^$M$22))^(1/$L$22)</f>
        <v>214.61262325327519</v>
      </c>
      <c r="DW6" s="6">
        <f>DW5+(DW$40-DW$5)/35</f>
        <v>38.232123642905044</v>
      </c>
      <c r="DX6" s="6"/>
      <c r="DY6" s="6">
        <v>0</v>
      </c>
      <c r="DZ6" s="6">
        <f>($E$9*$E$18+$F$9*$F$18)/$F$18</f>
        <v>226.0734100433026</v>
      </c>
      <c r="EA6" s="6">
        <v>0</v>
      </c>
      <c r="EB6" s="6">
        <f>$E$20/($F$18*(1+$F$16/100)*(1+F13/100))</f>
        <v>226.0734100433026</v>
      </c>
      <c r="EC6" s="6">
        <v>0</v>
      </c>
      <c r="ED6" s="6">
        <f>($E$9*$E$18*(1+$E$16/100)*(1+E10/100)+$F$9*$F$18*(1+$F$16/100)*(1+F10/100))/($F$18*(1+$F$16/100)*(1+F10/100))</f>
        <v>226.0734100433026</v>
      </c>
      <c r="EF6" s="6">
        <f>$EG5+($DJ$40-$DJ$5)/35</f>
        <v>0.47460156711343698</v>
      </c>
      <c r="EG6" s="6">
        <f>$EG5+($DJ$40-$DJ$5)/35</f>
        <v>0.47460156711343698</v>
      </c>
      <c r="EH6" s="6">
        <f t="shared" si="5"/>
        <v>1.0000000000000004</v>
      </c>
      <c r="EI6" s="6">
        <f t="shared" si="6"/>
        <v>1.0000000000000002</v>
      </c>
      <c r="EJ6" s="6">
        <f t="shared" ref="EJ6:EJ39" si="23">EG6^(1/($L$18-$M$18))*EI6^(1/($L$18-$M$18))*EH6^(1/($M$18-$L$18))</f>
        <v>2.8999259147475787</v>
      </c>
      <c r="EK6" s="6">
        <f t="shared" ref="EK6:EK39" si="24">-($L$4*$M$18-EJ6*$L$5+EJ6*$L$5*$M$18)*($L$18/(EJ6*($L$18-$M$18)))</f>
        <v>1.9416629201800588</v>
      </c>
      <c r="EL6" s="6">
        <f t="shared" si="7"/>
        <v>133.05833707981995</v>
      </c>
      <c r="EM6" s="6">
        <f t="shared" ref="EM6:EM39" si="25">EJ6*(1/$L$18-1)*EK6</f>
        <v>31.907178846296127</v>
      </c>
      <c r="EN6" s="6">
        <f t="shared" si="8"/>
        <v>68.092821153703881</v>
      </c>
      <c r="EO6" s="6"/>
      <c r="EP6" s="6">
        <f t="shared" ref="EP6:EP39" si="26">$L$20*EK6^$L$18*EM6^$L$17</f>
        <v>31.99716092179667</v>
      </c>
      <c r="EQ6" s="6">
        <f t="shared" ref="EQ6:EQ39" si="27">$M$20*EL6^$M$18*EN6^$M$17</f>
        <v>183.64588489965331</v>
      </c>
      <c r="ER6" s="6">
        <f t="shared" ref="ER6:ER40" si="28">$EG6*EP6+EQ6</f>
        <v>198.83178761631885</v>
      </c>
      <c r="ES6" s="6">
        <f t="shared" si="9"/>
        <v>314.20848780424757</v>
      </c>
      <c r="ET6" s="6">
        <f t="shared" si="10"/>
        <v>49.707946904079712</v>
      </c>
      <c r="EU6" s="6">
        <f t="shared" ref="EU6:EU40" si="29">EP6-ES6</f>
        <v>-282.21132688245092</v>
      </c>
      <c r="EV6" s="6">
        <f t="shared" ref="EV6:EV40" si="30">ET6-EQ6</f>
        <v>-133.93793799557361</v>
      </c>
      <c r="EW6" s="6">
        <f>$E$15</f>
        <v>-102.55355282536165</v>
      </c>
      <c r="EX6" s="6">
        <f>-$F$15</f>
        <v>-92.298197542825477</v>
      </c>
    </row>
    <row r="7" spans="1:256" s="5" customFormat="1">
      <c r="A7" s="62"/>
      <c r="B7" s="18"/>
      <c r="C7" s="36" t="s">
        <v>62</v>
      </c>
      <c r="D7" s="18"/>
      <c r="E7" s="34">
        <f>(G7-500)/10</f>
        <v>0</v>
      </c>
      <c r="F7" s="34">
        <f>(H7-500)/10</f>
        <v>0</v>
      </c>
      <c r="G7" s="50">
        <v>500</v>
      </c>
      <c r="H7" s="50">
        <v>500</v>
      </c>
      <c r="I7" s="32"/>
      <c r="J7" s="22"/>
      <c r="K7" s="22"/>
      <c r="L7" s="41"/>
      <c r="M7" s="18"/>
      <c r="N7" s="18"/>
      <c r="O7" s="68"/>
      <c r="AE7" s="62"/>
      <c r="AG7" s="6">
        <f t="shared" si="11"/>
        <v>0.99823289963844486</v>
      </c>
      <c r="AH7" s="6">
        <f t="shared" ref="AH7:AH39" si="31">AH6+(AH$40-AH$5)/35</f>
        <v>0.68863827608193995</v>
      </c>
      <c r="AI7" s="6"/>
      <c r="AJ7" s="6">
        <f t="shared" si="12"/>
        <v>0.89026682792456802</v>
      </c>
      <c r="AK7" s="6">
        <f t="shared" ref="AK7:AK39" si="32">AK6+(AK$40-AK$5)/35</f>
        <v>0.11539422805374522</v>
      </c>
      <c r="AL7" s="6"/>
      <c r="AM7" s="6"/>
      <c r="AN7" s="6"/>
      <c r="AO7" s="6"/>
      <c r="AP7" s="6"/>
      <c r="AQ7" s="6"/>
      <c r="AR7" s="6"/>
      <c r="AS7" s="6"/>
      <c r="AT7" s="6"/>
      <c r="AU7" s="6"/>
      <c r="AV7" s="6"/>
      <c r="AW7" s="6"/>
      <c r="AX7" s="6"/>
      <c r="AY7" s="6">
        <f t="shared" si="13"/>
        <v>1.2333215514578753</v>
      </c>
      <c r="AZ7" s="6">
        <f t="shared" ref="AZ7:AZ39" si="33">AZ6+(AZ$40-AZ$5)/35</f>
        <v>0.85132495929087837</v>
      </c>
      <c r="BA7" s="6"/>
      <c r="BB7" s="6">
        <f t="shared" si="14"/>
        <v>1.4279158113210564</v>
      </c>
      <c r="BC7" s="6">
        <f t="shared" ref="BC7:BC39" si="34">BC6+(BC$40-BC$5)/35</f>
        <v>0.13284705118148693</v>
      </c>
      <c r="BD7" s="6"/>
      <c r="BE7" s="6"/>
      <c r="BF7" s="6"/>
      <c r="BG7" s="6"/>
      <c r="BH7" s="6"/>
      <c r="BI7" s="6"/>
      <c r="BJ7" s="6"/>
      <c r="BK7" s="6"/>
      <c r="BL7" s="6"/>
      <c r="BM7" s="6"/>
      <c r="BN7" s="6"/>
      <c r="BO7" s="6"/>
      <c r="BQ7" s="6">
        <f t="shared" si="15"/>
        <v>99.354292744317092</v>
      </c>
      <c r="BR7" s="6">
        <f t="shared" ref="BR7:BR39" si="35">BR6+(BR$40-BR$5)/35</f>
        <v>50.876042558506889</v>
      </c>
      <c r="BS7" s="6"/>
      <c r="BT7" s="6">
        <f t="shared" si="16"/>
        <v>145.66367502025693</v>
      </c>
      <c r="BU7" s="6">
        <f t="shared" ref="BU7:BU39" si="36">BU6+(BU$40-BU$5)/35</f>
        <v>10.034203335664047</v>
      </c>
      <c r="BV7" s="6"/>
      <c r="BW7" s="6"/>
      <c r="BX7" s="6"/>
      <c r="BY7" s="6"/>
      <c r="BZ7" s="6"/>
      <c r="CA7" s="6"/>
      <c r="CB7" s="6"/>
      <c r="CC7" s="6"/>
      <c r="CD7" s="6"/>
      <c r="CE7" s="6"/>
      <c r="CF7" s="6"/>
      <c r="CG7" s="6"/>
      <c r="DD7" s="6">
        <f t="shared" si="17"/>
        <v>96.303363738243064</v>
      </c>
      <c r="DE7" s="6">
        <f t="shared" ref="DE7:DE39" si="37">DE6+(DE$40-DE$5)/35</f>
        <v>51.156832676589708</v>
      </c>
      <c r="DG7" s="6">
        <f t="shared" si="0"/>
        <v>36.740337855178907</v>
      </c>
      <c r="DH7" s="6">
        <f t="shared" ref="DH7:DH39" si="38">DH6+(DH$40-DH$5)/35</f>
        <v>6.6</v>
      </c>
      <c r="DJ7" s="6">
        <f t="shared" ref="DJ7:DJ39" si="39">DJ6+($DJ$40-$DJ$5)/35</f>
        <v>0.5828463221345096</v>
      </c>
      <c r="DK7" s="6">
        <f t="shared" si="1"/>
        <v>1.0000000000000004</v>
      </c>
      <c r="DL7" s="6">
        <f t="shared" si="2"/>
        <v>1.0000000000000002</v>
      </c>
      <c r="DM7" s="6">
        <f t="shared" si="18"/>
        <v>2.162333969315541</v>
      </c>
      <c r="DN7" s="6">
        <f t="shared" si="19"/>
        <v>4.0841520953932458</v>
      </c>
      <c r="DO7" s="6">
        <f t="shared" si="3"/>
        <v>130.91584790460675</v>
      </c>
      <c r="DP7" s="6">
        <f t="shared" si="20"/>
        <v>50.04403793308034</v>
      </c>
      <c r="DQ7" s="6">
        <f t="shared" si="4"/>
        <v>49.95596206691966</v>
      </c>
      <c r="DR7" s="6"/>
      <c r="DS7" s="6">
        <f t="shared" si="21"/>
        <v>52.443902735238304</v>
      </c>
      <c r="DT7" s="6">
        <f t="shared" si="22"/>
        <v>172.90665645624259</v>
      </c>
      <c r="DV7" s="6">
        <f t="shared" ref="DV7:DV40" si="40">($E$22/(1.62144018576844*DW7^$M$22))^(1/$L$22)</f>
        <v>205.17100994178929</v>
      </c>
      <c r="DW7" s="6">
        <f t="shared" ref="DW7:DW39" si="41">DW6+(DW$40-DW$5)/35</f>
        <v>43.756867360563795</v>
      </c>
      <c r="DX7" s="6"/>
      <c r="DY7" s="6"/>
      <c r="DZ7" s="6"/>
      <c r="EA7" s="6"/>
      <c r="EB7" s="6"/>
      <c r="EC7" s="6"/>
      <c r="ED7" s="6"/>
      <c r="EF7" s="6">
        <f t="shared" ref="EF7:EG39" si="42">$EG6+($DJ$40-$DJ$5)/35</f>
        <v>0.5828463221345096</v>
      </c>
      <c r="EG7" s="6">
        <f t="shared" si="42"/>
        <v>0.5828463221345096</v>
      </c>
      <c r="EH7" s="6">
        <f t="shared" si="5"/>
        <v>1.0000000000000004</v>
      </c>
      <c r="EI7" s="6">
        <f t="shared" si="6"/>
        <v>1.0000000000000002</v>
      </c>
      <c r="EJ7" s="6">
        <f t="shared" si="23"/>
        <v>2.162333969315541</v>
      </c>
      <c r="EK7" s="6">
        <f t="shared" si="24"/>
        <v>4.0841520953932458</v>
      </c>
      <c r="EL7" s="6">
        <f t="shared" si="7"/>
        <v>130.91584790460675</v>
      </c>
      <c r="EM7" s="6">
        <f t="shared" si="25"/>
        <v>50.04403793308034</v>
      </c>
      <c r="EN7" s="6">
        <f t="shared" si="8"/>
        <v>49.95596206691966</v>
      </c>
      <c r="EO7" s="6"/>
      <c r="EP7" s="6">
        <f t="shared" si="26"/>
        <v>52.443902735238304</v>
      </c>
      <c r="EQ7" s="6">
        <f t="shared" si="27"/>
        <v>172.90665645624259</v>
      </c>
      <c r="ER7" s="6">
        <f t="shared" si="28"/>
        <v>203.47339228385619</v>
      </c>
      <c r="ES7" s="6">
        <f t="shared" si="9"/>
        <v>261.8272405906576</v>
      </c>
      <c r="ET7" s="6">
        <f t="shared" si="10"/>
        <v>50.868348070964046</v>
      </c>
      <c r="EU7" s="6">
        <f t="shared" si="29"/>
        <v>-209.38333785541928</v>
      </c>
      <c r="EV7" s="6">
        <f t="shared" si="30"/>
        <v>-122.03830838527854</v>
      </c>
      <c r="EW7" s="6"/>
      <c r="EX7" s="6"/>
    </row>
    <row r="8" spans="1:256" s="5" customFormat="1">
      <c r="A8" s="62"/>
      <c r="B8" s="18"/>
      <c r="C8" s="36"/>
      <c r="D8" s="18"/>
      <c r="E8" s="32"/>
      <c r="F8" s="32"/>
      <c r="G8" s="32"/>
      <c r="H8" s="17"/>
      <c r="I8" s="17"/>
      <c r="J8" s="17"/>
      <c r="K8" s="17"/>
      <c r="L8" s="17"/>
      <c r="M8" s="17"/>
      <c r="N8" s="17"/>
      <c r="O8" s="62"/>
      <c r="AE8" s="62"/>
      <c r="AG8" s="6">
        <f t="shared" si="11"/>
        <v>0.72638159225858456</v>
      </c>
      <c r="AH8" s="6">
        <f t="shared" si="31"/>
        <v>0.72837651014006299</v>
      </c>
      <c r="AI8" s="6"/>
      <c r="AJ8" s="6">
        <f t="shared" si="12"/>
        <v>0.82928916243648176</v>
      </c>
      <c r="AK8" s="6">
        <f t="shared" si="32"/>
        <v>0.1725034938702984</v>
      </c>
      <c r="AL8" s="6"/>
      <c r="AM8" s="6"/>
      <c r="AN8" s="6"/>
      <c r="AO8" s="6"/>
      <c r="AP8" s="6"/>
      <c r="AQ8" s="6"/>
      <c r="AR8" s="6"/>
      <c r="AS8" s="6"/>
      <c r="AT8" s="6"/>
      <c r="AU8" s="6"/>
      <c r="AV8" s="6"/>
      <c r="AW8" s="6"/>
      <c r="AX8" s="6"/>
      <c r="AY8" s="6">
        <f t="shared" si="13"/>
        <v>0.98277799192553639</v>
      </c>
      <c r="AZ8" s="6">
        <f t="shared" si="33"/>
        <v>0.88613329385782147</v>
      </c>
      <c r="BA8" s="6"/>
      <c r="BB8" s="6">
        <f t="shared" si="14"/>
        <v>1.3412510556095882</v>
      </c>
      <c r="BC8" s="6">
        <f t="shared" si="34"/>
        <v>0.18942744356992672</v>
      </c>
      <c r="BD8" s="6"/>
      <c r="BE8" s="6"/>
      <c r="BF8" s="6"/>
      <c r="BG8" s="6"/>
      <c r="BH8" s="6"/>
      <c r="BI8" s="6"/>
      <c r="BJ8" s="6"/>
      <c r="BK8" s="6"/>
      <c r="BL8" s="6"/>
      <c r="BM8" s="6"/>
      <c r="BN8" s="6"/>
      <c r="BO8" s="6"/>
      <c r="BQ8" s="6">
        <f t="shared" si="15"/>
        <v>71.781906437972552</v>
      </c>
      <c r="BR8" s="6">
        <f t="shared" si="35"/>
        <v>53.879798844612743</v>
      </c>
      <c r="BS8" s="6"/>
      <c r="BT8" s="6">
        <f t="shared" si="16"/>
        <v>136.87736584044083</v>
      </c>
      <c r="BU8" s="6">
        <f t="shared" si="36"/>
        <v>14.275591113371197</v>
      </c>
      <c r="BV8" s="6"/>
      <c r="BW8" s="6"/>
      <c r="BX8" s="6"/>
      <c r="BY8" s="6"/>
      <c r="BZ8" s="6"/>
      <c r="CA8" s="6"/>
      <c r="CB8" s="6"/>
      <c r="CC8" s="6"/>
      <c r="CD8" s="6"/>
      <c r="CE8" s="6"/>
      <c r="CF8" s="6"/>
      <c r="CG8" s="6"/>
      <c r="DD8" s="6">
        <f t="shared" si="17"/>
        <v>81.931152637826031</v>
      </c>
      <c r="DE8" s="6">
        <f t="shared" si="37"/>
        <v>52.636928656086987</v>
      </c>
      <c r="DG8" s="6">
        <f t="shared" si="0"/>
        <v>36.211139840382131</v>
      </c>
      <c r="DH8" s="6">
        <f t="shared" si="38"/>
        <v>9.3999999999999986</v>
      </c>
      <c r="DJ8" s="6">
        <f t="shared" si="39"/>
        <v>0.69109107715558227</v>
      </c>
      <c r="DK8" s="6">
        <f t="shared" si="1"/>
        <v>1.0000000000000004</v>
      </c>
      <c r="DL8" s="6">
        <f t="shared" si="2"/>
        <v>1.0000000000000002</v>
      </c>
      <c r="DM8" s="6">
        <f t="shared" si="18"/>
        <v>1.6952560623134028</v>
      </c>
      <c r="DN8" s="6">
        <f t="shared" si="19"/>
        <v>6.4049824344622062</v>
      </c>
      <c r="DO8" s="6">
        <f t="shared" si="3"/>
        <v>128.5950175655378</v>
      </c>
      <c r="DP8" s="6">
        <f t="shared" si="20"/>
        <v>61.52915003918649</v>
      </c>
      <c r="DQ8" s="6">
        <f t="shared" si="4"/>
        <v>38.47084996081351</v>
      </c>
      <c r="DR8" s="6"/>
      <c r="DS8" s="6">
        <f t="shared" si="21"/>
        <v>66.876986309343735</v>
      </c>
      <c r="DT8" s="6">
        <f t="shared" si="22"/>
        <v>163.75347025496029</v>
      </c>
      <c r="DV8" s="6">
        <f t="shared" si="40"/>
        <v>197.19827187062145</v>
      </c>
      <c r="DW8" s="6">
        <f t="shared" si="41"/>
        <v>49.281611078222546</v>
      </c>
      <c r="DX8" s="6"/>
      <c r="DY8" s="6"/>
      <c r="DZ8" s="6"/>
      <c r="EA8" s="6"/>
      <c r="EB8" s="6"/>
      <c r="EC8" s="6"/>
      <c r="ED8" s="6"/>
      <c r="EF8" s="6">
        <f t="shared" si="42"/>
        <v>0.69109107715558227</v>
      </c>
      <c r="EG8" s="6">
        <f t="shared" si="42"/>
        <v>0.69109107715558227</v>
      </c>
      <c r="EH8" s="6">
        <f t="shared" si="5"/>
        <v>1.0000000000000004</v>
      </c>
      <c r="EI8" s="6">
        <f t="shared" si="6"/>
        <v>1.0000000000000002</v>
      </c>
      <c r="EJ8" s="6">
        <f t="shared" si="23"/>
        <v>1.6952560623134028</v>
      </c>
      <c r="EK8" s="6">
        <f t="shared" si="24"/>
        <v>6.4049824344622062</v>
      </c>
      <c r="EL8" s="6">
        <f t="shared" si="7"/>
        <v>128.5950175655378</v>
      </c>
      <c r="EM8" s="6">
        <f t="shared" si="25"/>
        <v>61.52915003918649</v>
      </c>
      <c r="EN8" s="6">
        <f t="shared" si="8"/>
        <v>38.47084996081351</v>
      </c>
      <c r="EO8" s="6"/>
      <c r="EP8" s="6">
        <f t="shared" si="26"/>
        <v>66.876986309343735</v>
      </c>
      <c r="EQ8" s="6">
        <f t="shared" si="27"/>
        <v>163.75347025496029</v>
      </c>
      <c r="ER8" s="6">
        <f t="shared" si="28"/>
        <v>209.97155876040378</v>
      </c>
      <c r="ES8" s="6">
        <f t="shared" si="9"/>
        <v>227.86963147962965</v>
      </c>
      <c r="ET8" s="6">
        <f t="shared" si="10"/>
        <v>52.492889690100945</v>
      </c>
      <c r="EU8" s="6">
        <f t="shared" si="29"/>
        <v>-160.99264517028593</v>
      </c>
      <c r="EV8" s="6">
        <f t="shared" si="30"/>
        <v>-111.26058056485934</v>
      </c>
      <c r="EW8" s="6"/>
      <c r="EX8" s="6"/>
    </row>
    <row r="9" spans="1:256" s="5" customFormat="1">
      <c r="A9" s="62"/>
      <c r="B9" s="18"/>
      <c r="C9" s="35" t="s">
        <v>2</v>
      </c>
      <c r="D9" s="20"/>
      <c r="E9" s="31">
        <f>(L4*F26-L5*F25)/(E25*F26-E26*F25)</f>
        <v>85.840955544057195</v>
      </c>
      <c r="F9" s="31">
        <f>(E25*L5-E26*L4)/(E25*F26-E26*F25)</f>
        <v>148.81655005365113</v>
      </c>
      <c r="G9" s="32"/>
      <c r="H9" s="16"/>
      <c r="I9" s="18"/>
      <c r="J9" s="18"/>
      <c r="K9" s="18"/>
      <c r="L9" s="18"/>
      <c r="M9" s="18"/>
      <c r="N9" s="13"/>
      <c r="O9" s="61"/>
      <c r="AE9" s="62"/>
      <c r="AG9" s="6">
        <f t="shared" si="11"/>
        <v>0.53756856648397011</v>
      </c>
      <c r="AH9" s="6">
        <f t="shared" si="31"/>
        <v>0.76811474419818604</v>
      </c>
      <c r="AI9" s="6"/>
      <c r="AJ9" s="6">
        <f t="shared" si="12"/>
        <v>0.78847635487773982</v>
      </c>
      <c r="AK9" s="6">
        <f t="shared" si="32"/>
        <v>0.22961275968685158</v>
      </c>
      <c r="AL9" s="6"/>
      <c r="AM9" s="51"/>
      <c r="AN9" s="6"/>
      <c r="AO9" s="6"/>
      <c r="AP9" s="6"/>
      <c r="AQ9" s="6"/>
      <c r="AR9" s="6"/>
      <c r="AS9" s="6"/>
      <c r="AT9" s="6"/>
      <c r="AU9" s="6"/>
      <c r="AV9" s="6"/>
      <c r="AW9" s="6"/>
      <c r="AX9" s="6"/>
      <c r="AY9" s="6">
        <f t="shared" si="13"/>
        <v>0.79001403104543977</v>
      </c>
      <c r="AZ9" s="6">
        <f t="shared" si="33"/>
        <v>0.92094162842476457</v>
      </c>
      <c r="BA9" s="6"/>
      <c r="BB9" s="6">
        <f t="shared" si="14"/>
        <v>1.2807949268589731</v>
      </c>
      <c r="BC9" s="6">
        <f t="shared" si="34"/>
        <v>0.24600783595836651</v>
      </c>
      <c r="BD9" s="6"/>
      <c r="BE9" s="6"/>
      <c r="BF9" s="6"/>
      <c r="BG9" s="6"/>
      <c r="BH9" s="6"/>
      <c r="BI9" s="6"/>
      <c r="BJ9" s="6"/>
      <c r="BK9" s="6"/>
      <c r="BL9" s="6"/>
      <c r="BM9" s="6"/>
      <c r="BN9" s="6"/>
      <c r="BO9" s="6"/>
      <c r="BQ9" s="6">
        <f t="shared" si="15"/>
        <v>52.78420480412408</v>
      </c>
      <c r="BR9" s="6">
        <f t="shared" si="35"/>
        <v>56.883555130718598</v>
      </c>
      <c r="BS9" s="6"/>
      <c r="BT9" s="6">
        <f t="shared" si="16"/>
        <v>130.73584915827462</v>
      </c>
      <c r="BU9" s="6">
        <f t="shared" si="36"/>
        <v>18.516978891078345</v>
      </c>
      <c r="BV9" s="6"/>
      <c r="BW9" s="6"/>
      <c r="BX9" s="6"/>
      <c r="BY9" s="6"/>
      <c r="BZ9" s="6"/>
      <c r="CA9" s="6"/>
      <c r="CB9" s="6"/>
      <c r="CC9" s="6"/>
      <c r="CD9" s="6"/>
      <c r="CE9" s="6"/>
      <c r="CF9" s="6"/>
      <c r="CG9" s="6"/>
      <c r="DD9" s="6">
        <f t="shared" si="17"/>
        <v>70.016967678974794</v>
      </c>
      <c r="DE9" s="6">
        <f t="shared" si="37"/>
        <v>54.117024635584265</v>
      </c>
      <c r="DG9" s="6">
        <f t="shared" si="0"/>
        <v>35.662341642522904</v>
      </c>
      <c r="DH9" s="6">
        <f t="shared" si="38"/>
        <v>12.2</v>
      </c>
      <c r="DJ9" s="6">
        <f t="shared" si="39"/>
        <v>0.79933583217665494</v>
      </c>
      <c r="DK9" s="6">
        <f t="shared" si="1"/>
        <v>1.0000000000000004</v>
      </c>
      <c r="DL9" s="6">
        <f t="shared" si="2"/>
        <v>1.0000000000000002</v>
      </c>
      <c r="DM9" s="6">
        <f t="shared" si="18"/>
        <v>1.3770768231746029</v>
      </c>
      <c r="DN9" s="6">
        <f t="shared" si="19"/>
        <v>8.8874895881233105</v>
      </c>
      <c r="DO9" s="6">
        <f t="shared" si="3"/>
        <v>126.11251041187668</v>
      </c>
      <c r="DP9" s="6">
        <f t="shared" si="20"/>
        <v>69.352950258724505</v>
      </c>
      <c r="DQ9" s="6">
        <f t="shared" si="4"/>
        <v>30.647049741275495</v>
      </c>
      <c r="DR9" s="6"/>
      <c r="DS9" s="6">
        <f t="shared" si="21"/>
        <v>77.768243425970255</v>
      </c>
      <c r="DT9" s="6">
        <f t="shared" si="22"/>
        <v>155.66213061508674</v>
      </c>
      <c r="DV9" s="6">
        <f t="shared" si="40"/>
        <v>190.33606995246052</v>
      </c>
      <c r="DW9" s="6">
        <f t="shared" si="41"/>
        <v>54.806354795881298</v>
      </c>
      <c r="DX9" s="6"/>
      <c r="DY9" s="6"/>
      <c r="DZ9" s="6"/>
      <c r="EA9" s="6"/>
      <c r="EB9" s="6"/>
      <c r="EC9" s="6"/>
      <c r="ED9" s="6"/>
      <c r="EF9" s="6">
        <f t="shared" si="42"/>
        <v>0.79933583217665494</v>
      </c>
      <c r="EG9" s="6">
        <f t="shared" si="42"/>
        <v>0.79933583217665494</v>
      </c>
      <c r="EH9" s="6">
        <f t="shared" si="5"/>
        <v>1.0000000000000004</v>
      </c>
      <c r="EI9" s="6">
        <f t="shared" si="6"/>
        <v>1.0000000000000002</v>
      </c>
      <c r="EJ9" s="6">
        <f t="shared" si="23"/>
        <v>1.3770768231746029</v>
      </c>
      <c r="EK9" s="6">
        <f t="shared" si="24"/>
        <v>8.8874895881233105</v>
      </c>
      <c r="EL9" s="6">
        <f t="shared" si="7"/>
        <v>126.11251041187668</v>
      </c>
      <c r="EM9" s="6">
        <f t="shared" si="25"/>
        <v>69.352950258724505</v>
      </c>
      <c r="EN9" s="6">
        <f t="shared" si="8"/>
        <v>30.647049741275495</v>
      </c>
      <c r="EO9" s="6"/>
      <c r="EP9" s="6">
        <f t="shared" si="26"/>
        <v>77.768243425970255</v>
      </c>
      <c r="EQ9" s="6">
        <f t="shared" si="27"/>
        <v>155.66213061508674</v>
      </c>
      <c r="ER9" s="6">
        <f t="shared" si="28"/>
        <v>217.82507419090135</v>
      </c>
      <c r="ES9" s="6">
        <f t="shared" si="9"/>
        <v>204.38068589807838</v>
      </c>
      <c r="ET9" s="6">
        <f t="shared" si="10"/>
        <v>54.456268547725337</v>
      </c>
      <c r="EU9" s="6">
        <f t="shared" si="29"/>
        <v>-126.61244247210813</v>
      </c>
      <c r="EV9" s="6">
        <f t="shared" si="30"/>
        <v>-101.20586206736141</v>
      </c>
      <c r="EW9" s="6"/>
      <c r="EX9" s="6"/>
    </row>
    <row r="10" spans="1:256" s="5" customFormat="1">
      <c r="A10" s="62"/>
      <c r="B10" s="18"/>
      <c r="C10" s="36" t="s">
        <v>60</v>
      </c>
      <c r="D10" s="20"/>
      <c r="E10" s="34">
        <f>(E11-500)/10</f>
        <v>0</v>
      </c>
      <c r="F10" s="34">
        <f>(F11-500)/10</f>
        <v>0</v>
      </c>
      <c r="G10" s="32"/>
      <c r="H10" s="16"/>
      <c r="I10" s="18"/>
      <c r="J10" s="18"/>
      <c r="K10" s="18"/>
      <c r="L10" s="18"/>
      <c r="M10" s="18"/>
      <c r="N10" s="13"/>
      <c r="O10" s="61"/>
      <c r="AE10" s="62"/>
      <c r="AG10" s="6">
        <f t="shared" si="11"/>
        <v>0.40392298725346643</v>
      </c>
      <c r="AH10" s="6">
        <f t="shared" si="31"/>
        <v>0.80785297825630908</v>
      </c>
      <c r="AI10" s="6"/>
      <c r="AJ10" s="6">
        <f t="shared" si="12"/>
        <v>0.75816796845061962</v>
      </c>
      <c r="AK10" s="6">
        <f t="shared" si="32"/>
        <v>0.28672202550340475</v>
      </c>
      <c r="AL10" s="6"/>
      <c r="AM10" s="51"/>
      <c r="AN10" s="6"/>
      <c r="AP10" s="51"/>
      <c r="AQ10" s="6"/>
      <c r="AR10" s="6"/>
      <c r="AS10" s="6"/>
      <c r="AT10" s="6"/>
      <c r="AU10" s="6"/>
      <c r="AV10" s="6"/>
      <c r="AW10" s="6"/>
      <c r="AX10" s="6"/>
      <c r="AY10" s="6">
        <f t="shared" si="13"/>
        <v>0.64022469263753268</v>
      </c>
      <c r="AZ10" s="6">
        <f t="shared" si="33"/>
        <v>0.95574996299170767</v>
      </c>
      <c r="BA10" s="6"/>
      <c r="BB10" s="6">
        <f t="shared" si="14"/>
        <v>1.2348504032593637</v>
      </c>
      <c r="BC10" s="6">
        <f t="shared" si="34"/>
        <v>0.30258822834680632</v>
      </c>
      <c r="BD10" s="6"/>
      <c r="BE10" s="6"/>
      <c r="BF10" s="6"/>
      <c r="BG10" s="6"/>
      <c r="BH10" s="6"/>
      <c r="BI10" s="6"/>
      <c r="BJ10" s="6"/>
      <c r="BK10" s="6"/>
      <c r="BL10" s="6"/>
      <c r="BM10" s="6"/>
      <c r="BN10" s="6"/>
      <c r="BO10" s="6"/>
      <c r="BQ10" s="6">
        <f t="shared" si="15"/>
        <v>39.433455454502983</v>
      </c>
      <c r="BR10" s="6">
        <f t="shared" si="35"/>
        <v>59.887311416824453</v>
      </c>
      <c r="BS10" s="6"/>
      <c r="BT10" s="6">
        <f t="shared" si="16"/>
        <v>126.06312023086544</v>
      </c>
      <c r="BU10" s="6">
        <f t="shared" si="36"/>
        <v>22.758366668785495</v>
      </c>
      <c r="BV10" s="6"/>
      <c r="BW10" s="6"/>
      <c r="BX10" s="6"/>
      <c r="BY10" s="6"/>
      <c r="BZ10" s="6"/>
      <c r="CA10" s="6"/>
      <c r="CB10" s="6"/>
      <c r="CC10" s="6"/>
      <c r="CD10" s="6"/>
      <c r="CE10" s="6"/>
      <c r="CF10" s="6"/>
      <c r="CG10" s="6"/>
      <c r="DD10" s="6">
        <f t="shared" si="17"/>
        <v>60.089569691325714</v>
      </c>
      <c r="DE10" s="6">
        <f t="shared" si="37"/>
        <v>55.597120615081543</v>
      </c>
      <c r="DG10" s="6">
        <f t="shared" si="0"/>
        <v>35.092556513711344</v>
      </c>
      <c r="DH10" s="6">
        <f t="shared" si="38"/>
        <v>15</v>
      </c>
      <c r="DJ10" s="6">
        <f t="shared" si="39"/>
        <v>0.90758058719772761</v>
      </c>
      <c r="DK10" s="6">
        <f t="shared" si="1"/>
        <v>1.0000000000000004</v>
      </c>
      <c r="DL10" s="6">
        <f t="shared" si="2"/>
        <v>1.0000000000000002</v>
      </c>
      <c r="DM10" s="6">
        <f t="shared" si="18"/>
        <v>1.148587281544321</v>
      </c>
      <c r="DN10" s="6">
        <f t="shared" si="19"/>
        <v>11.518704363574006</v>
      </c>
      <c r="DO10" s="6">
        <f t="shared" si="3"/>
        <v>123.481295636426</v>
      </c>
      <c r="DP10" s="6">
        <f t="shared" si="20"/>
        <v>74.971344880597655</v>
      </c>
      <c r="DQ10" s="6">
        <f t="shared" si="4"/>
        <v>25.028655119402345</v>
      </c>
      <c r="DR10" s="6"/>
      <c r="DS10" s="6">
        <f t="shared" si="21"/>
        <v>86.387672938809786</v>
      </c>
      <c r="DT10" s="6">
        <f t="shared" si="22"/>
        <v>148.32243697673326</v>
      </c>
      <c r="DV10" s="6">
        <f t="shared" si="40"/>
        <v>184.33918343819073</v>
      </c>
      <c r="DW10" s="6">
        <f t="shared" si="41"/>
        <v>60.331098513540049</v>
      </c>
      <c r="DX10" s="6"/>
      <c r="DY10" s="51" t="s">
        <v>88</v>
      </c>
      <c r="DZ10" s="6"/>
      <c r="EA10" s="51" t="s">
        <v>89</v>
      </c>
      <c r="EB10" s="6"/>
      <c r="EC10" s="6"/>
      <c r="ED10" s="6"/>
      <c r="EF10" s="6">
        <f t="shared" si="42"/>
        <v>0.90758058719772761</v>
      </c>
      <c r="EG10" s="6">
        <f t="shared" si="42"/>
        <v>0.90758058719772761</v>
      </c>
      <c r="EH10" s="6">
        <f t="shared" si="5"/>
        <v>1.0000000000000004</v>
      </c>
      <c r="EI10" s="6">
        <f t="shared" si="6"/>
        <v>1.0000000000000002</v>
      </c>
      <c r="EJ10" s="6">
        <f t="shared" si="23"/>
        <v>1.148587281544321</v>
      </c>
      <c r="EK10" s="6">
        <f t="shared" si="24"/>
        <v>11.518704363574006</v>
      </c>
      <c r="EL10" s="6">
        <f t="shared" si="7"/>
        <v>123.481295636426</v>
      </c>
      <c r="EM10" s="6">
        <f t="shared" si="25"/>
        <v>74.971344880597655</v>
      </c>
      <c r="EN10" s="6">
        <f t="shared" si="8"/>
        <v>25.028655119402345</v>
      </c>
      <c r="EO10" s="6"/>
      <c r="EP10" s="6">
        <f t="shared" si="26"/>
        <v>86.387672938809786</v>
      </c>
      <c r="EQ10" s="6">
        <f t="shared" si="27"/>
        <v>148.32243697673326</v>
      </c>
      <c r="ER10" s="6">
        <f t="shared" si="28"/>
        <v>226.72621190918349</v>
      </c>
      <c r="ES10" s="6">
        <f t="shared" si="9"/>
        <v>187.36039678517417</v>
      </c>
      <c r="ET10" s="6">
        <f t="shared" si="10"/>
        <v>56.681552977295873</v>
      </c>
      <c r="EU10" s="6">
        <f t="shared" si="29"/>
        <v>-100.97272384636439</v>
      </c>
      <c r="EV10" s="6">
        <f t="shared" si="30"/>
        <v>-91.640883999437392</v>
      </c>
      <c r="EW10" s="6"/>
      <c r="EX10" s="6"/>
    </row>
    <row r="11" spans="1:256" s="5" customFormat="1">
      <c r="A11" s="62"/>
      <c r="B11" s="18"/>
      <c r="C11" s="36"/>
      <c r="D11" s="20"/>
      <c r="E11" s="50">
        <v>500</v>
      </c>
      <c r="F11" s="50">
        <v>500</v>
      </c>
      <c r="G11" s="32"/>
      <c r="H11" s="69"/>
      <c r="I11" s="62"/>
      <c r="J11" s="62"/>
      <c r="K11" s="62"/>
      <c r="L11" s="62"/>
      <c r="M11" s="62"/>
      <c r="N11" s="61"/>
      <c r="O11" s="61"/>
      <c r="AE11" s="62"/>
      <c r="AG11" s="6">
        <f t="shared" si="11"/>
        <v>0.30769840953060135</v>
      </c>
      <c r="AH11" s="6">
        <f t="shared" si="31"/>
        <v>0.84759121231443213</v>
      </c>
      <c r="AI11" s="6"/>
      <c r="AJ11" s="6">
        <f t="shared" si="12"/>
        <v>0.73425120147569123</v>
      </c>
      <c r="AK11" s="6">
        <f t="shared" si="32"/>
        <v>0.34383129131995793</v>
      </c>
      <c r="AL11" s="6"/>
      <c r="AM11" s="51"/>
      <c r="AN11" s="51"/>
      <c r="AP11" s="51"/>
      <c r="AQ11" s="51"/>
      <c r="AR11" s="6"/>
      <c r="AS11" s="6"/>
      <c r="AT11" s="6"/>
      <c r="AU11" s="6"/>
      <c r="AV11" s="6"/>
      <c r="AW11" s="6"/>
      <c r="AX11" s="6"/>
      <c r="AY11" s="6">
        <f t="shared" si="13"/>
        <v>0.52275296100270485</v>
      </c>
      <c r="AZ11" s="6">
        <f t="shared" si="33"/>
        <v>0.99055829755865077</v>
      </c>
      <c r="BA11" s="6"/>
      <c r="BB11" s="6">
        <f t="shared" si="14"/>
        <v>1.1980549979604043</v>
      </c>
      <c r="BC11" s="6">
        <f t="shared" si="34"/>
        <v>0.35916862073524614</v>
      </c>
      <c r="BD11" s="6"/>
      <c r="BE11" s="6"/>
      <c r="BF11" s="6"/>
      <c r="BG11" s="6"/>
      <c r="BH11" s="6"/>
      <c r="BI11" s="6"/>
      <c r="BJ11" s="6"/>
      <c r="BK11" s="6"/>
      <c r="BL11" s="6"/>
      <c r="BM11" s="6"/>
      <c r="BN11" s="6"/>
      <c r="BO11" s="6"/>
      <c r="BQ11" s="6">
        <f t="shared" si="15"/>
        <v>29.883030830414263</v>
      </c>
      <c r="BR11" s="6">
        <f t="shared" si="35"/>
        <v>62.891067702930307</v>
      </c>
      <c r="BS11" s="6"/>
      <c r="BT11" s="6">
        <f t="shared" si="16"/>
        <v>122.31807294287009</v>
      </c>
      <c r="BU11" s="6">
        <f t="shared" si="36"/>
        <v>26.999754446492645</v>
      </c>
      <c r="BV11" s="6"/>
      <c r="BW11" s="6"/>
      <c r="BX11" s="6"/>
      <c r="BY11" s="6"/>
      <c r="BZ11" s="6"/>
      <c r="CA11" s="6"/>
      <c r="CB11" s="6"/>
      <c r="CC11" s="6"/>
      <c r="CD11" s="6"/>
      <c r="CE11" s="6"/>
      <c r="CF11" s="6"/>
      <c r="CG11" s="6"/>
      <c r="DD11" s="6">
        <f t="shared" si="17"/>
        <v>51.777332375565059</v>
      </c>
      <c r="DE11" s="6">
        <f t="shared" si="37"/>
        <v>57.077216594578822</v>
      </c>
      <c r="DG11" s="6">
        <f t="shared" si="0"/>
        <v>34.500249688583636</v>
      </c>
      <c r="DH11" s="6">
        <f t="shared" si="38"/>
        <v>17.8</v>
      </c>
      <c r="DJ11" s="6">
        <f t="shared" si="39"/>
        <v>1.0158253422188002</v>
      </c>
      <c r="DK11" s="6">
        <f t="shared" si="1"/>
        <v>1.0000000000000004</v>
      </c>
      <c r="DL11" s="6">
        <f t="shared" si="2"/>
        <v>1.0000000000000002</v>
      </c>
      <c r="DM11" s="6">
        <f t="shared" si="18"/>
        <v>0.97781908554700137</v>
      </c>
      <c r="DN11" s="6">
        <f t="shared" si="19"/>
        <v>14.288174092449873</v>
      </c>
      <c r="DO11" s="6">
        <f t="shared" si="3"/>
        <v>120.71182590755012</v>
      </c>
      <c r="DP11" s="6">
        <f t="shared" si="20"/>
        <v>79.170412842888908</v>
      </c>
      <c r="DQ11" s="6">
        <f t="shared" si="4"/>
        <v>20.829587157111092</v>
      </c>
      <c r="DR11" s="6"/>
      <c r="DS11" s="6">
        <f t="shared" si="21"/>
        <v>93.455573610952683</v>
      </c>
      <c r="DT11" s="6">
        <f t="shared" si="22"/>
        <v>141.53689695674765</v>
      </c>
      <c r="DV11" s="6">
        <f t="shared" si="40"/>
        <v>179.03308735001667</v>
      </c>
      <c r="DW11" s="6">
        <f t="shared" si="41"/>
        <v>65.855842231198807</v>
      </c>
      <c r="DX11" s="6"/>
      <c r="DY11" s="6">
        <f>E9</f>
        <v>85.840955544057195</v>
      </c>
      <c r="DZ11" s="51">
        <f>F9</f>
        <v>148.81655005365113</v>
      </c>
      <c r="EA11" s="6">
        <f>E12</f>
        <v>188.39450836941884</v>
      </c>
      <c r="EB11" s="6">
        <f>F12</f>
        <v>56.51835251082565</v>
      </c>
      <c r="EC11" s="6"/>
      <c r="ED11" s="6"/>
      <c r="EF11" s="6">
        <f t="shared" si="42"/>
        <v>1.0158253422188002</v>
      </c>
      <c r="EG11" s="6">
        <f t="shared" si="42"/>
        <v>1.0158253422188002</v>
      </c>
      <c r="EH11" s="6">
        <f t="shared" si="5"/>
        <v>1.0000000000000004</v>
      </c>
      <c r="EI11" s="6">
        <f t="shared" si="6"/>
        <v>1.0000000000000002</v>
      </c>
      <c r="EJ11" s="6">
        <f t="shared" si="23"/>
        <v>0.97781908554700137</v>
      </c>
      <c r="EK11" s="6">
        <f t="shared" si="24"/>
        <v>14.288174092449873</v>
      </c>
      <c r="EL11" s="6">
        <f t="shared" si="7"/>
        <v>120.71182590755012</v>
      </c>
      <c r="EM11" s="6">
        <f t="shared" si="25"/>
        <v>79.170412842888908</v>
      </c>
      <c r="EN11" s="6">
        <f t="shared" si="8"/>
        <v>20.829587157111092</v>
      </c>
      <c r="EO11" s="6"/>
      <c r="EP11" s="6">
        <f t="shared" si="26"/>
        <v>93.455573610952683</v>
      </c>
      <c r="EQ11" s="6">
        <f t="shared" si="27"/>
        <v>141.53689695674765</v>
      </c>
      <c r="ER11" s="6">
        <f t="shared" si="28"/>
        <v>236.47143700234795</v>
      </c>
      <c r="ES11" s="6">
        <f t="shared" si="9"/>
        <v>174.59062141960277</v>
      </c>
      <c r="ET11" s="6">
        <f t="shared" si="10"/>
        <v>59.117859250586989</v>
      </c>
      <c r="EU11" s="6">
        <f t="shared" si="29"/>
        <v>-81.135047808650086</v>
      </c>
      <c r="EV11" s="6">
        <f t="shared" si="30"/>
        <v>-82.419037706160665</v>
      </c>
      <c r="EW11" s="6"/>
      <c r="EX11" s="6"/>
    </row>
    <row r="12" spans="1:256" s="5" customFormat="1">
      <c r="A12" s="62"/>
      <c r="B12" s="18"/>
      <c r="C12" s="35" t="s">
        <v>6</v>
      </c>
      <c r="D12" s="20"/>
      <c r="E12" s="31">
        <f>L22*E20/(E18*(1+E16/100)*(1+E13/100))</f>
        <v>188.39450836941884</v>
      </c>
      <c r="F12" s="31">
        <f>M22*E20/(F18*(1+F16/100)*(1+F13/100))</f>
        <v>56.51835251082565</v>
      </c>
      <c r="G12" s="32"/>
      <c r="H12" s="69"/>
      <c r="I12" s="18"/>
      <c r="J12" s="18"/>
      <c r="K12" s="18"/>
      <c r="L12" s="18"/>
      <c r="M12" s="18"/>
      <c r="N12" s="25"/>
      <c r="O12" s="61"/>
      <c r="AE12" s="62"/>
      <c r="AG12" s="6">
        <f t="shared" si="11"/>
        <v>0.23733805332142224</v>
      </c>
      <c r="AH12" s="6">
        <f t="shared" si="31"/>
        <v>0.88732944637255518</v>
      </c>
      <c r="AI12" s="6"/>
      <c r="AJ12" s="6">
        <f t="shared" si="12"/>
        <v>0.71460816368962798</v>
      </c>
      <c r="AK12" s="6">
        <f t="shared" si="32"/>
        <v>0.40094055713651111</v>
      </c>
      <c r="AL12" s="6"/>
      <c r="AM12" s="6"/>
      <c r="AN12" s="6"/>
      <c r="AP12" s="6"/>
      <c r="AQ12" s="6"/>
      <c r="AR12" s="6"/>
      <c r="AS12" s="6"/>
      <c r="AT12" s="6"/>
      <c r="AU12" s="6"/>
      <c r="AV12" s="6"/>
      <c r="AW12" s="6"/>
      <c r="AX12" s="6"/>
      <c r="AY12" s="6">
        <f t="shared" si="13"/>
        <v>0.4298346026481098</v>
      </c>
      <c r="AZ12" s="6">
        <f t="shared" si="33"/>
        <v>1.0253666321255939</v>
      </c>
      <c r="BA12" s="6"/>
      <c r="BB12" s="6">
        <f t="shared" si="14"/>
        <v>1.1675220126904144</v>
      </c>
      <c r="BC12" s="6">
        <f t="shared" si="34"/>
        <v>0.41574901312368595</v>
      </c>
      <c r="BD12" s="6"/>
      <c r="BE12" s="6"/>
      <c r="BF12" s="6"/>
      <c r="BG12" s="6"/>
      <c r="BH12" s="6"/>
      <c r="BI12" s="6"/>
      <c r="BJ12" s="6"/>
      <c r="BK12" s="6"/>
      <c r="BL12" s="6"/>
      <c r="BM12" s="6"/>
      <c r="BN12" s="6"/>
      <c r="BO12" s="6"/>
      <c r="BQ12" s="6">
        <f t="shared" si="15"/>
        <v>22.940598684965856</v>
      </c>
      <c r="BR12" s="6">
        <f t="shared" si="35"/>
        <v>65.894823989036155</v>
      </c>
      <c r="BS12" s="6"/>
      <c r="BT12" s="6">
        <f t="shared" si="16"/>
        <v>119.20876886717251</v>
      </c>
      <c r="BU12" s="6">
        <f t="shared" si="36"/>
        <v>31.241142224199795</v>
      </c>
      <c r="BV12" s="6"/>
      <c r="BW12" s="6"/>
      <c r="BX12" s="6"/>
      <c r="BY12" s="6"/>
      <c r="BZ12" s="6"/>
      <c r="CA12" s="6"/>
      <c r="CB12" s="6"/>
      <c r="CC12" s="6"/>
      <c r="CD12" s="6"/>
      <c r="CE12" s="6"/>
      <c r="CF12" s="6"/>
      <c r="CG12" s="6"/>
      <c r="DD12" s="6">
        <f t="shared" si="17"/>
        <v>44.785320244846048</v>
      </c>
      <c r="DE12" s="6">
        <f t="shared" si="37"/>
        <v>58.5573125740761</v>
      </c>
      <c r="DG12" s="6">
        <f t="shared" si="0"/>
        <v>33.883716887532714</v>
      </c>
      <c r="DH12" s="6">
        <f t="shared" si="38"/>
        <v>20.6</v>
      </c>
      <c r="DJ12" s="6">
        <f t="shared" si="39"/>
        <v>1.1240700972398727</v>
      </c>
      <c r="DK12" s="6">
        <f t="shared" si="1"/>
        <v>1.0000000000000004</v>
      </c>
      <c r="DL12" s="6">
        <f t="shared" si="2"/>
        <v>1.0000000000000002</v>
      </c>
      <c r="DM12" s="6">
        <f t="shared" si="18"/>
        <v>0.8461317807375428</v>
      </c>
      <c r="DN12" s="6">
        <f t="shared" si="19"/>
        <v>17.187249665828453</v>
      </c>
      <c r="DO12" s="6">
        <f t="shared" si="3"/>
        <v>117.81275033417154</v>
      </c>
      <c r="DP12" s="6">
        <f t="shared" si="20"/>
        <v>82.408509605792943</v>
      </c>
      <c r="DQ12" s="6">
        <f t="shared" si="4"/>
        <v>17.591490394207057</v>
      </c>
      <c r="DR12" s="6"/>
      <c r="DS12" s="6">
        <f t="shared" si="21"/>
        <v>99.41168452854572</v>
      </c>
      <c r="DT12" s="6">
        <f t="shared" si="22"/>
        <v>135.17272534495061</v>
      </c>
      <c r="DV12" s="6">
        <f t="shared" si="40"/>
        <v>174.28955758977025</v>
      </c>
      <c r="DW12" s="6">
        <f t="shared" si="41"/>
        <v>71.380585948857558</v>
      </c>
      <c r="DX12" s="6"/>
      <c r="DY12" s="6"/>
      <c r="DZ12" s="6"/>
      <c r="EA12" s="6"/>
      <c r="EB12" s="6"/>
      <c r="EC12" s="6"/>
      <c r="ED12" s="6"/>
      <c r="EF12" s="6">
        <f t="shared" si="42"/>
        <v>1.1240700972398727</v>
      </c>
      <c r="EG12" s="6">
        <f t="shared" si="42"/>
        <v>1.1240700972398727</v>
      </c>
      <c r="EH12" s="6">
        <f t="shared" si="5"/>
        <v>1.0000000000000004</v>
      </c>
      <c r="EI12" s="6">
        <f t="shared" si="6"/>
        <v>1.0000000000000002</v>
      </c>
      <c r="EJ12" s="6">
        <f t="shared" si="23"/>
        <v>0.8461317807375428</v>
      </c>
      <c r="EK12" s="6">
        <f t="shared" si="24"/>
        <v>17.187249665828453</v>
      </c>
      <c r="EL12" s="6">
        <f t="shared" si="7"/>
        <v>117.81275033417154</v>
      </c>
      <c r="EM12" s="6">
        <f t="shared" si="25"/>
        <v>82.408509605792943</v>
      </c>
      <c r="EN12" s="6">
        <f t="shared" si="8"/>
        <v>17.591490394207057</v>
      </c>
      <c r="EO12" s="6"/>
      <c r="EP12" s="6">
        <f t="shared" si="26"/>
        <v>99.41168452854572</v>
      </c>
      <c r="EQ12" s="6">
        <f t="shared" si="27"/>
        <v>135.17272534495061</v>
      </c>
      <c r="ER12" s="6">
        <f t="shared" si="28"/>
        <v>246.91842723973255</v>
      </c>
      <c r="ES12" s="6">
        <f t="shared" si="9"/>
        <v>164.74846264883848</v>
      </c>
      <c r="ET12" s="6">
        <f t="shared" si="10"/>
        <v>61.729606809933138</v>
      </c>
      <c r="EU12" s="6">
        <f t="shared" si="29"/>
        <v>-65.336778120292763</v>
      </c>
      <c r="EV12" s="6">
        <f t="shared" si="30"/>
        <v>-73.443118535017476</v>
      </c>
      <c r="EW12" s="6"/>
      <c r="EX12" s="6"/>
    </row>
    <row r="13" spans="1:256" s="5" customFormat="1">
      <c r="A13" s="62"/>
      <c r="B13" s="18"/>
      <c r="C13" s="36" t="s">
        <v>59</v>
      </c>
      <c r="D13" s="20"/>
      <c r="E13" s="34">
        <f>(E14-500)/10</f>
        <v>0</v>
      </c>
      <c r="F13" s="34">
        <f>(F14-500)/10</f>
        <v>0</v>
      </c>
      <c r="G13" s="32"/>
      <c r="H13" s="69"/>
      <c r="I13" s="23" t="s">
        <v>50</v>
      </c>
      <c r="J13" s="11"/>
      <c r="K13" s="11"/>
      <c r="L13" s="12"/>
      <c r="M13" s="13"/>
      <c r="N13" s="41"/>
      <c r="O13" s="61"/>
      <c r="AE13" s="62"/>
      <c r="AG13" s="6">
        <f t="shared" si="11"/>
        <v>0.18516132364759239</v>
      </c>
      <c r="AH13" s="6">
        <f t="shared" si="31"/>
        <v>0.92706768043067822</v>
      </c>
      <c r="AI13" s="6"/>
      <c r="AJ13" s="6">
        <f t="shared" si="12"/>
        <v>0.69801088850507809</v>
      </c>
      <c r="AK13" s="6">
        <f t="shared" si="32"/>
        <v>0.45804982295306429</v>
      </c>
      <c r="AL13" s="6"/>
      <c r="AM13" s="6"/>
      <c r="AN13" s="6"/>
      <c r="AO13" s="6"/>
      <c r="AP13" s="6"/>
      <c r="AQ13" s="6"/>
      <c r="AR13" s="6"/>
      <c r="AS13" s="6"/>
      <c r="AT13" s="6"/>
      <c r="AU13" s="6"/>
      <c r="AV13" s="6"/>
      <c r="AW13" s="6"/>
      <c r="AX13" s="6"/>
      <c r="AY13" s="6">
        <f t="shared" si="13"/>
        <v>0.35574923356575056</v>
      </c>
      <c r="AZ13" s="6">
        <f t="shared" si="33"/>
        <v>1.0601749666925369</v>
      </c>
      <c r="BA13" s="6"/>
      <c r="BB13" s="6">
        <f t="shared" si="14"/>
        <v>1.1415269768200933</v>
      </c>
      <c r="BC13" s="6">
        <f t="shared" si="34"/>
        <v>0.47232940551212577</v>
      </c>
      <c r="BD13" s="6"/>
      <c r="BE13" s="6"/>
      <c r="BF13" s="6"/>
      <c r="BG13" s="6"/>
      <c r="BH13" s="6"/>
      <c r="BI13" s="6"/>
      <c r="BJ13" s="6"/>
      <c r="BK13" s="6"/>
      <c r="BL13" s="6"/>
      <c r="BM13" s="6"/>
      <c r="BN13" s="6"/>
      <c r="BO13" s="6"/>
      <c r="BQ13" s="6">
        <f t="shared" si="15"/>
        <v>17.819844663415061</v>
      </c>
      <c r="BR13" s="6">
        <f t="shared" si="35"/>
        <v>68.89858027514201</v>
      </c>
      <c r="BS13" s="6"/>
      <c r="BT13" s="6">
        <f t="shared" si="16"/>
        <v>116.56054095940753</v>
      </c>
      <c r="BU13" s="6">
        <f t="shared" si="36"/>
        <v>35.482530001906945</v>
      </c>
      <c r="BV13" s="6"/>
      <c r="BW13" s="6"/>
      <c r="BX13" s="6"/>
      <c r="BY13" s="6"/>
      <c r="BZ13" s="6"/>
      <c r="CA13" s="6"/>
      <c r="CB13" s="6"/>
      <c r="CC13" s="6"/>
      <c r="CD13" s="6"/>
      <c r="CE13" s="6"/>
      <c r="CF13" s="6"/>
      <c r="CG13" s="6"/>
      <c r="DD13" s="6">
        <f t="shared" si="17"/>
        <v>38.878050331902259</v>
      </c>
      <c r="DE13" s="6">
        <f t="shared" si="37"/>
        <v>60.037408553573378</v>
      </c>
      <c r="DG13" s="6">
        <f t="shared" si="0"/>
        <v>33.241058810650173</v>
      </c>
      <c r="DH13" s="6">
        <f t="shared" si="38"/>
        <v>23.400000000000002</v>
      </c>
      <c r="DJ13" s="6">
        <f t="shared" si="39"/>
        <v>1.2323148522609453</v>
      </c>
      <c r="DK13" s="6">
        <f t="shared" si="1"/>
        <v>1.0000000000000004</v>
      </c>
      <c r="DL13" s="6">
        <f t="shared" si="2"/>
        <v>1.0000000000000002</v>
      </c>
      <c r="DM13" s="6">
        <f t="shared" si="18"/>
        <v>0.74198922063011863</v>
      </c>
      <c r="DN13" s="6">
        <f t="shared" si="19"/>
        <v>20.208625775341609</v>
      </c>
      <c r="DO13" s="6">
        <f t="shared" si="3"/>
        <v>114.7913742246584</v>
      </c>
      <c r="DP13" s="6">
        <f t="shared" si="20"/>
        <v>84.969300771291529</v>
      </c>
      <c r="DQ13" s="6">
        <f t="shared" si="4"/>
        <v>15.030699228708471</v>
      </c>
      <c r="DR13" s="6"/>
      <c r="DS13" s="6">
        <f t="shared" si="21"/>
        <v>104.5402367390468</v>
      </c>
      <c r="DT13" s="6">
        <f t="shared" si="22"/>
        <v>129.1367846400104</v>
      </c>
      <c r="DV13" s="6">
        <f t="shared" si="40"/>
        <v>170.01187523759125</v>
      </c>
      <c r="DW13" s="6">
        <f t="shared" si="41"/>
        <v>76.905329666516309</v>
      </c>
      <c r="DX13" s="6"/>
      <c r="DY13" s="6"/>
      <c r="DZ13" s="6"/>
      <c r="EA13" s="6"/>
      <c r="EB13" s="6"/>
      <c r="EC13" s="6"/>
      <c r="ED13" s="6"/>
      <c r="EF13" s="6">
        <f t="shared" si="42"/>
        <v>1.2323148522609453</v>
      </c>
      <c r="EG13" s="6">
        <f t="shared" si="42"/>
        <v>1.2323148522609453</v>
      </c>
      <c r="EH13" s="6">
        <f t="shared" si="5"/>
        <v>1.0000000000000004</v>
      </c>
      <c r="EI13" s="6">
        <f t="shared" si="6"/>
        <v>1.0000000000000002</v>
      </c>
      <c r="EJ13" s="6">
        <f t="shared" si="23"/>
        <v>0.74198922063011863</v>
      </c>
      <c r="EK13" s="6">
        <f t="shared" si="24"/>
        <v>20.208625775341609</v>
      </c>
      <c r="EL13" s="6">
        <f t="shared" si="7"/>
        <v>114.7913742246584</v>
      </c>
      <c r="EM13" s="6">
        <f t="shared" si="25"/>
        <v>84.969300771291529</v>
      </c>
      <c r="EN13" s="6">
        <f t="shared" si="8"/>
        <v>15.030699228708471</v>
      </c>
      <c r="EO13" s="6"/>
      <c r="EP13" s="6">
        <f t="shared" si="26"/>
        <v>104.5402367390468</v>
      </c>
      <c r="EQ13" s="6">
        <f t="shared" si="27"/>
        <v>129.1367846400104</v>
      </c>
      <c r="ER13" s="6">
        <f t="shared" si="28"/>
        <v>257.9632710324131</v>
      </c>
      <c r="ES13" s="6">
        <f t="shared" si="9"/>
        <v>156.99920594103301</v>
      </c>
      <c r="ET13" s="6">
        <f t="shared" si="10"/>
        <v>64.490817758103276</v>
      </c>
      <c r="EU13" s="6">
        <f t="shared" si="29"/>
        <v>-52.458969201986207</v>
      </c>
      <c r="EV13" s="6">
        <f t="shared" si="30"/>
        <v>-64.645966881907128</v>
      </c>
      <c r="EW13" s="6"/>
      <c r="EX13" s="6"/>
    </row>
    <row r="14" spans="1:256" s="5" customFormat="1">
      <c r="A14" s="62"/>
      <c r="B14" s="18"/>
      <c r="C14" s="36"/>
      <c r="D14" s="20"/>
      <c r="E14" s="50">
        <v>500</v>
      </c>
      <c r="F14" s="50">
        <v>500</v>
      </c>
      <c r="G14" s="32"/>
      <c r="H14" s="69"/>
      <c r="I14" s="23"/>
      <c r="J14" s="11"/>
      <c r="K14" s="11"/>
      <c r="L14" s="12"/>
      <c r="M14" s="13"/>
      <c r="N14" s="32"/>
      <c r="O14" s="61"/>
      <c r="AE14" s="62"/>
      <c r="AG14" s="6">
        <f t="shared" si="11"/>
        <v>0.14596847921424586</v>
      </c>
      <c r="AH14" s="6">
        <f t="shared" si="31"/>
        <v>0.96680591448880127</v>
      </c>
      <c r="AI14" s="6"/>
      <c r="AJ14" s="6">
        <f t="shared" si="12"/>
        <v>0.6836867166547812</v>
      </c>
      <c r="AK14" s="6">
        <f t="shared" si="32"/>
        <v>0.51515908876961747</v>
      </c>
      <c r="AL14" s="6"/>
      <c r="AM14" s="6"/>
      <c r="AN14" s="6"/>
      <c r="AO14" s="6"/>
      <c r="AP14" s="6"/>
      <c r="AQ14" s="6"/>
      <c r="AR14" s="6"/>
      <c r="AS14" s="6"/>
      <c r="AT14" s="6"/>
      <c r="AU14" s="6"/>
      <c r="AV14" s="6"/>
      <c r="AW14" s="6"/>
      <c r="AX14" s="6"/>
      <c r="AY14" s="6">
        <f t="shared" si="13"/>
        <v>0.2962381031062602</v>
      </c>
      <c r="AZ14" s="6">
        <f t="shared" si="33"/>
        <v>1.0949833012594798</v>
      </c>
      <c r="BA14" s="6"/>
      <c r="BB14" s="6">
        <f t="shared" si="14"/>
        <v>1.1189611535677024</v>
      </c>
      <c r="BC14" s="6">
        <f t="shared" si="34"/>
        <v>0.52890979790056558</v>
      </c>
      <c r="BD14" s="6"/>
      <c r="BE14" s="6"/>
      <c r="BF14" s="6"/>
      <c r="BG14" s="6"/>
      <c r="BH14" s="6"/>
      <c r="BI14" s="6"/>
      <c r="BJ14" s="6"/>
      <c r="BK14" s="6"/>
      <c r="BL14" s="6"/>
      <c r="BM14" s="6"/>
      <c r="BN14" s="6"/>
      <c r="BO14" s="6"/>
      <c r="BQ14" s="6">
        <f t="shared" si="15"/>
        <v>13.992171090266291</v>
      </c>
      <c r="BR14" s="6">
        <f t="shared" si="35"/>
        <v>71.902336561247864</v>
      </c>
      <c r="BS14" s="6"/>
      <c r="BT14" s="6">
        <f t="shared" si="16"/>
        <v>114.26096263755619</v>
      </c>
      <c r="BU14" s="6">
        <f t="shared" si="36"/>
        <v>39.723917779614098</v>
      </c>
      <c r="BV14" s="6"/>
      <c r="BW14" s="6"/>
      <c r="BX14" s="6"/>
      <c r="BY14" s="6"/>
      <c r="BZ14" s="6"/>
      <c r="CA14" s="6"/>
      <c r="CB14" s="6"/>
      <c r="CC14" s="6"/>
      <c r="CD14" s="6"/>
      <c r="CE14" s="6"/>
      <c r="CF14" s="6"/>
      <c r="CG14" s="6"/>
      <c r="DD14" s="6">
        <f t="shared" si="17"/>
        <v>33.866431504748334</v>
      </c>
      <c r="DE14" s="6">
        <f t="shared" si="37"/>
        <v>61.517504533070657</v>
      </c>
      <c r="DG14" s="6">
        <f t="shared" si="0"/>
        <v>32.570150696733691</v>
      </c>
      <c r="DH14" s="6">
        <f t="shared" si="38"/>
        <v>26.200000000000003</v>
      </c>
      <c r="DJ14" s="6">
        <f t="shared" si="39"/>
        <v>1.3405596072820178</v>
      </c>
      <c r="DK14" s="6">
        <f t="shared" si="1"/>
        <v>1.0000000000000004</v>
      </c>
      <c r="DL14" s="6">
        <f t="shared" si="2"/>
        <v>1.0000000000000002</v>
      </c>
      <c r="DM14" s="6">
        <f t="shared" si="18"/>
        <v>0.65790422021979222</v>
      </c>
      <c r="DN14" s="6">
        <f t="shared" si="19"/>
        <v>23.346029494971798</v>
      </c>
      <c r="DO14" s="6">
        <f t="shared" si="3"/>
        <v>111.6539705050282</v>
      </c>
      <c r="DP14" s="6">
        <f t="shared" si="20"/>
        <v>87.036890870666895</v>
      </c>
      <c r="DQ14" s="6">
        <f t="shared" si="4"/>
        <v>12.963109129333105</v>
      </c>
      <c r="DR14" s="6"/>
      <c r="DS14" s="6">
        <f t="shared" si="21"/>
        <v>109.0335223351389</v>
      </c>
      <c r="DT14" s="6">
        <f t="shared" si="22"/>
        <v>123.36150146954115</v>
      </c>
      <c r="DV14" s="6">
        <f t="shared" si="40"/>
        <v>166.12545173486711</v>
      </c>
      <c r="DW14" s="6">
        <f t="shared" si="41"/>
        <v>82.43007338417506</v>
      </c>
      <c r="DX14" s="6"/>
      <c r="DY14" s="6"/>
      <c r="DZ14" s="6"/>
      <c r="EA14" s="6"/>
      <c r="EB14" s="6"/>
      <c r="EC14" s="6"/>
      <c r="ED14" s="6"/>
      <c r="EF14" s="6">
        <f t="shared" si="42"/>
        <v>1.3405596072820178</v>
      </c>
      <c r="EG14" s="6">
        <f t="shared" si="42"/>
        <v>1.3405596072820178</v>
      </c>
      <c r="EH14" s="6">
        <f t="shared" si="5"/>
        <v>1.0000000000000004</v>
      </c>
      <c r="EI14" s="6">
        <f t="shared" si="6"/>
        <v>1.0000000000000002</v>
      </c>
      <c r="EJ14" s="6">
        <f t="shared" si="23"/>
        <v>0.65790422021979222</v>
      </c>
      <c r="EK14" s="6">
        <f t="shared" si="24"/>
        <v>23.346029494971798</v>
      </c>
      <c r="EL14" s="6">
        <f t="shared" si="7"/>
        <v>111.6539705050282</v>
      </c>
      <c r="EM14" s="6">
        <f t="shared" si="25"/>
        <v>87.036890870666895</v>
      </c>
      <c r="EN14" s="6">
        <f t="shared" si="8"/>
        <v>12.963109129333105</v>
      </c>
      <c r="EO14" s="6"/>
      <c r="EP14" s="6">
        <f t="shared" si="26"/>
        <v>109.0335223351389</v>
      </c>
      <c r="EQ14" s="6">
        <f t="shared" si="27"/>
        <v>123.36150146954115</v>
      </c>
      <c r="ER14" s="6">
        <f t="shared" si="28"/>
        <v>269.52743735171009</v>
      </c>
      <c r="ES14" s="6">
        <f t="shared" si="9"/>
        <v>150.79193563323332</v>
      </c>
      <c r="ET14" s="6">
        <f t="shared" si="10"/>
        <v>67.381859337927523</v>
      </c>
      <c r="EU14" s="6">
        <f t="shared" si="29"/>
        <v>-41.758413298094425</v>
      </c>
      <c r="EV14" s="6">
        <f t="shared" si="30"/>
        <v>-55.97964213161363</v>
      </c>
      <c r="EW14" s="6"/>
      <c r="EX14" s="6"/>
    </row>
    <row r="15" spans="1:256" s="5" customFormat="1">
      <c r="A15" s="62"/>
      <c r="B15" s="18"/>
      <c r="C15" s="35" t="s">
        <v>7</v>
      </c>
      <c r="D15" s="20"/>
      <c r="E15" s="31">
        <f>E9-E12</f>
        <v>-102.55355282536165</v>
      </c>
      <c r="F15" s="31">
        <f>F9-F12</f>
        <v>92.298197542825477</v>
      </c>
      <c r="G15" s="32"/>
      <c r="H15" s="69"/>
      <c r="I15" s="13"/>
      <c r="J15" s="13"/>
      <c r="K15" s="13"/>
      <c r="L15" s="13"/>
      <c r="M15" s="13"/>
      <c r="N15" s="32"/>
      <c r="O15" s="61"/>
      <c r="AE15" s="62"/>
      <c r="AG15" s="6">
        <f t="shared" si="11"/>
        <v>0.11617938698149737</v>
      </c>
      <c r="AH15" s="6">
        <f t="shared" si="31"/>
        <v>1.0065441485469242</v>
      </c>
      <c r="AI15" s="6"/>
      <c r="AJ15" s="6">
        <f t="shared" si="12"/>
        <v>0.67111938533982618</v>
      </c>
      <c r="AK15" s="6">
        <f t="shared" si="32"/>
        <v>0.57226835458617065</v>
      </c>
      <c r="AL15" s="6"/>
      <c r="AM15" s="6"/>
      <c r="AN15" s="6"/>
      <c r="AO15" s="6"/>
      <c r="AP15" s="6"/>
      <c r="AQ15" s="6"/>
      <c r="AR15" s="6"/>
      <c r="AS15" s="6"/>
      <c r="AT15" s="6"/>
      <c r="AU15" s="6"/>
      <c r="AV15" s="6"/>
      <c r="AW15" s="6"/>
      <c r="AX15" s="6"/>
      <c r="AY15" s="6">
        <f t="shared" si="13"/>
        <v>0.2480995920151117</v>
      </c>
      <c r="AZ15" s="6">
        <f t="shared" si="33"/>
        <v>1.1297916358264228</v>
      </c>
      <c r="BA15" s="6"/>
      <c r="BB15" s="6">
        <f t="shared" si="14"/>
        <v>1.0990715064558123</v>
      </c>
      <c r="BC15" s="6">
        <f t="shared" si="34"/>
        <v>0.5854901902890054</v>
      </c>
      <c r="BD15" s="6"/>
      <c r="BE15" s="6"/>
      <c r="BF15" s="6"/>
      <c r="BG15" s="6"/>
      <c r="BH15" s="6"/>
      <c r="BI15" s="6"/>
      <c r="BJ15" s="6"/>
      <c r="BK15" s="6"/>
      <c r="BL15" s="6"/>
      <c r="BM15" s="6"/>
      <c r="BN15" s="6"/>
      <c r="BO15" s="6"/>
      <c r="BQ15" s="6">
        <f t="shared" si="15"/>
        <v>11.095962354664149</v>
      </c>
      <c r="BR15" s="6">
        <f t="shared" si="35"/>
        <v>74.906092847353719</v>
      </c>
      <c r="BS15" s="6"/>
      <c r="BT15" s="6">
        <f t="shared" si="16"/>
        <v>112.233610363822</v>
      </c>
      <c r="BU15" s="6">
        <f t="shared" si="36"/>
        <v>43.965305557321244</v>
      </c>
      <c r="BV15" s="6"/>
      <c r="BW15" s="6"/>
      <c r="BX15" s="6"/>
      <c r="BY15" s="6"/>
      <c r="BZ15" s="6"/>
      <c r="CA15" s="6"/>
      <c r="CB15" s="6"/>
      <c r="CC15" s="6"/>
      <c r="CD15" s="6"/>
      <c r="CE15" s="6"/>
      <c r="CF15" s="6"/>
      <c r="CG15" s="6"/>
      <c r="DD15" s="6">
        <f t="shared" si="17"/>
        <v>29.597798860683422</v>
      </c>
      <c r="DE15" s="6">
        <f t="shared" si="37"/>
        <v>62.997600512567935</v>
      </c>
      <c r="DG15" s="6">
        <f t="shared" si="0"/>
        <v>31.868605763731409</v>
      </c>
      <c r="DH15" s="6">
        <f t="shared" si="38"/>
        <v>29.000000000000004</v>
      </c>
      <c r="DJ15" s="6">
        <f t="shared" si="39"/>
        <v>1.4488043623030904</v>
      </c>
      <c r="DK15" s="6">
        <f t="shared" si="1"/>
        <v>1.0000000000000004</v>
      </c>
      <c r="DL15" s="6">
        <f t="shared" si="2"/>
        <v>1.0000000000000002</v>
      </c>
      <c r="DM15" s="6">
        <f t="shared" si="18"/>
        <v>0.58882478020136708</v>
      </c>
      <c r="DN15" s="6">
        <f t="shared" si="19"/>
        <v>26.594000938590497</v>
      </c>
      <c r="DO15" s="6">
        <f t="shared" si="3"/>
        <v>108.4059990614095</v>
      </c>
      <c r="DP15" s="6">
        <f t="shared" si="20"/>
        <v>88.735504958262823</v>
      </c>
      <c r="DQ15" s="6">
        <f t="shared" si="4"/>
        <v>11.264495041737177</v>
      </c>
      <c r="DR15" s="6"/>
      <c r="DS15" s="6">
        <f t="shared" si="21"/>
        <v>113.02658020190623</v>
      </c>
      <c r="DT15" s="6">
        <f t="shared" si="22"/>
        <v>117.79647708729522</v>
      </c>
      <c r="DV15" s="6">
        <f t="shared" si="40"/>
        <v>162.57166754752251</v>
      </c>
      <c r="DW15" s="6">
        <f t="shared" si="41"/>
        <v>87.954817101833811</v>
      </c>
      <c r="DX15" s="6"/>
      <c r="DY15" s="6"/>
      <c r="DZ15" s="6"/>
      <c r="EA15" s="6"/>
      <c r="EB15" s="6"/>
      <c r="EC15" s="6"/>
      <c r="ED15" s="6"/>
      <c r="EF15" s="6">
        <f t="shared" si="42"/>
        <v>1.4488043623030904</v>
      </c>
      <c r="EG15" s="6">
        <f t="shared" si="42"/>
        <v>1.4488043623030904</v>
      </c>
      <c r="EH15" s="6">
        <f t="shared" si="5"/>
        <v>1.0000000000000004</v>
      </c>
      <c r="EI15" s="6">
        <f t="shared" si="6"/>
        <v>1.0000000000000002</v>
      </c>
      <c r="EJ15" s="6">
        <f t="shared" si="23"/>
        <v>0.58882478020136708</v>
      </c>
      <c r="EK15" s="6">
        <f t="shared" si="24"/>
        <v>26.594000938590497</v>
      </c>
      <c r="EL15" s="6">
        <f t="shared" si="7"/>
        <v>108.4059990614095</v>
      </c>
      <c r="EM15" s="6">
        <f t="shared" si="25"/>
        <v>88.735504958262823</v>
      </c>
      <c r="EN15" s="6">
        <f t="shared" si="8"/>
        <v>11.264495041737177</v>
      </c>
      <c r="EO15" s="6"/>
      <c r="EP15" s="6">
        <f t="shared" si="26"/>
        <v>113.02658020190623</v>
      </c>
      <c r="EQ15" s="6">
        <f t="shared" si="27"/>
        <v>117.79647708729522</v>
      </c>
      <c r="ER15" s="6">
        <f t="shared" si="28"/>
        <v>281.54987954001706</v>
      </c>
      <c r="ES15" s="6">
        <f t="shared" si="9"/>
        <v>145.74942977072396</v>
      </c>
      <c r="ET15" s="6">
        <f t="shared" si="10"/>
        <v>70.387469885004265</v>
      </c>
      <c r="EU15" s="6">
        <f t="shared" si="29"/>
        <v>-32.722849568817736</v>
      </c>
      <c r="EV15" s="6">
        <f t="shared" si="30"/>
        <v>-47.409007202290951</v>
      </c>
      <c r="EW15" s="6"/>
      <c r="EX15" s="6"/>
    </row>
    <row r="16" spans="1:256" s="5" customFormat="1">
      <c r="A16" s="62"/>
      <c r="B16" s="18"/>
      <c r="C16" s="36" t="s">
        <v>58</v>
      </c>
      <c r="D16" s="20"/>
      <c r="E16" s="34">
        <f>(E17-500)/10</f>
        <v>0</v>
      </c>
      <c r="F16" s="34">
        <f>(F17-500)/10</f>
        <v>0</v>
      </c>
      <c r="G16" s="32"/>
      <c r="H16" s="69"/>
      <c r="I16" s="24" t="s">
        <v>10</v>
      </c>
      <c r="J16" s="14"/>
      <c r="K16" s="15"/>
      <c r="L16" s="25" t="s">
        <v>3</v>
      </c>
      <c r="M16" s="25" t="s">
        <v>4</v>
      </c>
      <c r="N16" s="41"/>
      <c r="O16" s="58"/>
      <c r="AE16" s="62"/>
      <c r="AG16" s="6">
        <f t="shared" si="11"/>
        <v>9.3290610811119168E-2</v>
      </c>
      <c r="AH16" s="6">
        <f t="shared" si="31"/>
        <v>1.0462823826050471</v>
      </c>
      <c r="AI16" s="6"/>
      <c r="AJ16" s="6">
        <f t="shared" si="12"/>
        <v>0.65994768143886939</v>
      </c>
      <c r="AK16" s="6">
        <f t="shared" si="32"/>
        <v>0.62937762040272383</v>
      </c>
      <c r="AL16" s="6"/>
      <c r="AM16" s="6"/>
      <c r="AN16" s="6"/>
      <c r="AO16" s="6"/>
      <c r="AP16" s="6"/>
      <c r="AQ16" s="6"/>
      <c r="AR16" s="6"/>
      <c r="AS16" s="6"/>
      <c r="AT16" s="6"/>
      <c r="AU16" s="6"/>
      <c r="AV16" s="6"/>
      <c r="AW16" s="6"/>
      <c r="AX16" s="6"/>
      <c r="AY16" s="6">
        <f t="shared" si="13"/>
        <v>0.20890476179912781</v>
      </c>
      <c r="AZ16" s="6">
        <f t="shared" si="33"/>
        <v>1.1645999703933658</v>
      </c>
      <c r="BA16" s="6"/>
      <c r="BB16" s="6">
        <f t="shared" si="14"/>
        <v>1.0813243461844624</v>
      </c>
      <c r="BC16" s="6">
        <f t="shared" si="34"/>
        <v>0.64207058267744521</v>
      </c>
      <c r="BD16" s="6"/>
      <c r="BE16" s="6"/>
      <c r="BF16" s="6"/>
      <c r="BG16" s="6"/>
      <c r="BH16" s="6"/>
      <c r="BI16" s="6"/>
      <c r="BJ16" s="6"/>
      <c r="BK16" s="6"/>
      <c r="BL16" s="6"/>
      <c r="BM16" s="6"/>
      <c r="BN16" s="6"/>
      <c r="BO16" s="6"/>
      <c r="BQ16" s="6">
        <f t="shared" si="15"/>
        <v>8.8798453330167479</v>
      </c>
      <c r="BR16" s="6">
        <f t="shared" si="35"/>
        <v>77.909849133459574</v>
      </c>
      <c r="BS16" s="6"/>
      <c r="BT16" s="6">
        <f t="shared" si="16"/>
        <v>110.42428502429584</v>
      </c>
      <c r="BU16" s="6">
        <f t="shared" si="36"/>
        <v>48.20669333502839</v>
      </c>
      <c r="BV16" s="6"/>
      <c r="BW16" s="6"/>
      <c r="BX16" s="6"/>
      <c r="BY16" s="6"/>
      <c r="BZ16" s="6"/>
      <c r="CA16" s="6"/>
      <c r="CB16" s="6"/>
      <c r="CC16" s="6"/>
      <c r="CD16" s="6"/>
      <c r="CE16" s="6"/>
      <c r="CF16" s="6"/>
      <c r="CG16" s="6"/>
      <c r="DD16" s="6">
        <f t="shared" si="17"/>
        <v>25.948258553221411</v>
      </c>
      <c r="DE16" s="6">
        <f t="shared" si="37"/>
        <v>64.47769649206522</v>
      </c>
      <c r="DG16" s="6">
        <f t="shared" si="0"/>
        <v>31.133731003781918</v>
      </c>
      <c r="DH16" s="6">
        <f t="shared" si="38"/>
        <v>31.800000000000004</v>
      </c>
      <c r="DJ16" s="6">
        <f t="shared" si="39"/>
        <v>1.557049117324163</v>
      </c>
      <c r="DK16" s="6">
        <f t="shared" si="1"/>
        <v>1.0000000000000004</v>
      </c>
      <c r="DL16" s="6">
        <f t="shared" si="2"/>
        <v>1.0000000000000002</v>
      </c>
      <c r="DM16" s="6">
        <f t="shared" si="18"/>
        <v>0.53122977693927753</v>
      </c>
      <c r="DN16" s="6">
        <f t="shared" si="19"/>
        <v>29.947733773267807</v>
      </c>
      <c r="DO16" s="6">
        <f t="shared" si="3"/>
        <v>105.0522662267322</v>
      </c>
      <c r="DP16" s="6">
        <f t="shared" si="20"/>
        <v>90.151724949189571</v>
      </c>
      <c r="DQ16" s="6">
        <f t="shared" si="4"/>
        <v>9.8482750508104289</v>
      </c>
      <c r="DR16" s="6"/>
      <c r="DS16" s="6">
        <f t="shared" si="21"/>
        <v>116.61723862767549</v>
      </c>
      <c r="DT16" s="6">
        <f t="shared" si="22"/>
        <v>112.40324817927458</v>
      </c>
      <c r="DV16" s="6">
        <f t="shared" si="40"/>
        <v>159.30369501324026</v>
      </c>
      <c r="DW16" s="6">
        <f t="shared" si="41"/>
        <v>93.479560819492562</v>
      </c>
      <c r="DX16" s="6"/>
      <c r="DY16" s="6"/>
      <c r="DZ16" s="6"/>
      <c r="EA16" s="6"/>
      <c r="EB16" s="6"/>
      <c r="EC16" s="6"/>
      <c r="ED16" s="6"/>
      <c r="EF16" s="6">
        <f t="shared" si="42"/>
        <v>1.557049117324163</v>
      </c>
      <c r="EG16" s="6">
        <f t="shared" si="42"/>
        <v>1.557049117324163</v>
      </c>
      <c r="EH16" s="6">
        <f t="shared" si="5"/>
        <v>1.0000000000000004</v>
      </c>
      <c r="EI16" s="6">
        <f t="shared" si="6"/>
        <v>1.0000000000000002</v>
      </c>
      <c r="EJ16" s="6">
        <f t="shared" si="23"/>
        <v>0.53122977693927753</v>
      </c>
      <c r="EK16" s="6">
        <f t="shared" si="24"/>
        <v>29.947733773267807</v>
      </c>
      <c r="EL16" s="6">
        <f t="shared" si="7"/>
        <v>105.0522662267322</v>
      </c>
      <c r="EM16" s="6">
        <f t="shared" si="25"/>
        <v>90.151724949189571</v>
      </c>
      <c r="EN16" s="6">
        <f t="shared" si="8"/>
        <v>9.8482750508104289</v>
      </c>
      <c r="EO16" s="6"/>
      <c r="EP16" s="6">
        <f t="shared" si="26"/>
        <v>116.61723862767549</v>
      </c>
      <c r="EQ16" s="6">
        <f t="shared" si="27"/>
        <v>112.40324817927458</v>
      </c>
      <c r="ER16" s="6">
        <f t="shared" si="28"/>
        <v>293.98201664927797</v>
      </c>
      <c r="ES16" s="6">
        <f t="shared" si="9"/>
        <v>141.60536750816914</v>
      </c>
      <c r="ET16" s="6">
        <f t="shared" si="10"/>
        <v>73.495504162319492</v>
      </c>
      <c r="EU16" s="6">
        <f t="shared" si="29"/>
        <v>-24.988128880493647</v>
      </c>
      <c r="EV16" s="6">
        <f t="shared" si="30"/>
        <v>-38.907744016955093</v>
      </c>
      <c r="EW16" s="6"/>
      <c r="EX16" s="6"/>
    </row>
    <row r="17" spans="1:154" s="5" customFormat="1">
      <c r="A17" s="62"/>
      <c r="B17" s="18"/>
      <c r="C17" s="36"/>
      <c r="D17" s="20"/>
      <c r="E17" s="50">
        <v>500</v>
      </c>
      <c r="F17" s="50">
        <v>500</v>
      </c>
      <c r="G17" s="32"/>
      <c r="H17" s="62"/>
      <c r="I17" s="24" t="s">
        <v>0</v>
      </c>
      <c r="J17" s="14"/>
      <c r="K17" s="16"/>
      <c r="L17" s="39">
        <f>L19/100</f>
        <v>0.85</v>
      </c>
      <c r="M17" s="42">
        <f>M19/100</f>
        <v>0.15</v>
      </c>
      <c r="N17" s="32"/>
      <c r="O17" s="61"/>
      <c r="AE17" s="62"/>
      <c r="AG17" s="6">
        <f t="shared" si="11"/>
        <v>7.5526503489010674E-2</v>
      </c>
      <c r="AH17" s="6">
        <f t="shared" si="31"/>
        <v>1.0860206166631701</v>
      </c>
      <c r="AI17" s="6"/>
      <c r="AJ17" s="6">
        <f t="shared" si="12"/>
        <v>0.64990947608005567</v>
      </c>
      <c r="AK17" s="6">
        <f t="shared" si="32"/>
        <v>0.686486886219277</v>
      </c>
      <c r="AL17" s="6"/>
      <c r="AM17" s="6"/>
      <c r="AN17" s="6"/>
      <c r="AO17" s="6"/>
      <c r="AP17" s="6"/>
      <c r="AQ17" s="6"/>
      <c r="AR17" s="6"/>
      <c r="AS17" s="6"/>
      <c r="AT17" s="6"/>
      <c r="AU17" s="6"/>
      <c r="AV17" s="6"/>
      <c r="AW17" s="6"/>
      <c r="AX17" s="6"/>
      <c r="AY17" s="6">
        <f t="shared" si="13"/>
        <v>0.17679505092676256</v>
      </c>
      <c r="AZ17" s="6">
        <f t="shared" si="33"/>
        <v>1.1994083049603088</v>
      </c>
      <c r="BA17" s="6"/>
      <c r="BB17" s="6">
        <f t="shared" si="14"/>
        <v>1.065328343726679</v>
      </c>
      <c r="BC17" s="6">
        <f t="shared" si="34"/>
        <v>0.69865097506588503</v>
      </c>
      <c r="BD17" s="6"/>
      <c r="BE17" s="6"/>
      <c r="BF17" s="6"/>
      <c r="BG17" s="6"/>
      <c r="BH17" s="6"/>
      <c r="BI17" s="6"/>
      <c r="BJ17" s="6"/>
      <c r="BK17" s="6"/>
      <c r="BL17" s="6"/>
      <c r="BM17" s="6"/>
      <c r="BN17" s="6"/>
      <c r="BO17" s="6"/>
      <c r="BQ17" s="6">
        <f t="shared" si="15"/>
        <v>7.1664926303062213</v>
      </c>
      <c r="BR17" s="6">
        <f t="shared" si="35"/>
        <v>80.913605419565428</v>
      </c>
      <c r="BS17" s="6"/>
      <c r="BT17" s="6">
        <f t="shared" si="16"/>
        <v>108.79322328483812</v>
      </c>
      <c r="BU17" s="6">
        <f t="shared" si="36"/>
        <v>52.448081112735537</v>
      </c>
      <c r="BV17" s="6"/>
      <c r="BW17" s="6"/>
      <c r="BX17" s="6"/>
      <c r="BY17" s="6"/>
      <c r="BZ17" s="6"/>
      <c r="CA17" s="6"/>
      <c r="CB17" s="6"/>
      <c r="CC17" s="6"/>
      <c r="CD17" s="6"/>
      <c r="CE17" s="6"/>
      <c r="CF17" s="6"/>
      <c r="CG17" s="6"/>
      <c r="DD17" s="6">
        <f t="shared" si="17"/>
        <v>22.816769745273699</v>
      </c>
      <c r="DE17" s="6">
        <f t="shared" si="37"/>
        <v>65.957792471562499</v>
      </c>
      <c r="DG17" s="6">
        <f t="shared" si="0"/>
        <v>30.362473344609683</v>
      </c>
      <c r="DH17" s="6">
        <f t="shared" si="38"/>
        <v>34.6</v>
      </c>
      <c r="DJ17" s="6">
        <f t="shared" si="39"/>
        <v>1.6652938723452355</v>
      </c>
      <c r="DK17" s="6">
        <f t="shared" si="1"/>
        <v>1.0000000000000004</v>
      </c>
      <c r="DL17" s="6">
        <f t="shared" si="2"/>
        <v>1.0000000000000002</v>
      </c>
      <c r="DM17" s="6">
        <f t="shared" si="18"/>
        <v>0.48259681504952345</v>
      </c>
      <c r="DN17" s="6">
        <f t="shared" si="19"/>
        <v>33.402956145343204</v>
      </c>
      <c r="DO17" s="6">
        <f t="shared" si="3"/>
        <v>101.59704385465679</v>
      </c>
      <c r="DP17" s="6">
        <f t="shared" si="20"/>
        <v>91.347574744228694</v>
      </c>
      <c r="DQ17" s="6">
        <f t="shared" si="4"/>
        <v>8.6524252557713055</v>
      </c>
      <c r="DR17" s="6"/>
      <c r="DS17" s="6">
        <f t="shared" si="21"/>
        <v>119.87825926838076</v>
      </c>
      <c r="DT17" s="6">
        <f t="shared" si="22"/>
        <v>107.15188452509608</v>
      </c>
      <c r="DV17" s="6">
        <f t="shared" si="40"/>
        <v>156.28358966214719</v>
      </c>
      <c r="DW17" s="6">
        <f t="shared" si="41"/>
        <v>99.004304537151313</v>
      </c>
      <c r="DX17" s="6"/>
      <c r="DY17" s="6"/>
      <c r="DZ17" s="6"/>
      <c r="EA17" s="6"/>
      <c r="EB17" s="6"/>
      <c r="EC17" s="6"/>
      <c r="ED17" s="6"/>
      <c r="EF17" s="6">
        <f t="shared" si="42"/>
        <v>1.6652938723452355</v>
      </c>
      <c r="EG17" s="6">
        <f t="shared" si="42"/>
        <v>1.6652938723452355</v>
      </c>
      <c r="EH17" s="6">
        <f t="shared" si="5"/>
        <v>1.0000000000000004</v>
      </c>
      <c r="EI17" s="6">
        <f t="shared" si="6"/>
        <v>1.0000000000000002</v>
      </c>
      <c r="EJ17" s="6">
        <f t="shared" si="23"/>
        <v>0.48259681504952345</v>
      </c>
      <c r="EK17" s="6">
        <f t="shared" si="24"/>
        <v>33.402956145343204</v>
      </c>
      <c r="EL17" s="6">
        <f t="shared" si="7"/>
        <v>101.59704385465679</v>
      </c>
      <c r="EM17" s="6">
        <f t="shared" si="25"/>
        <v>91.347574744228694</v>
      </c>
      <c r="EN17" s="6">
        <f t="shared" si="8"/>
        <v>8.6524252557713055</v>
      </c>
      <c r="EO17" s="6"/>
      <c r="EP17" s="6">
        <f t="shared" si="26"/>
        <v>119.87825926838076</v>
      </c>
      <c r="EQ17" s="6">
        <f t="shared" si="27"/>
        <v>107.15188452509608</v>
      </c>
      <c r="ER17" s="6">
        <f t="shared" si="28"/>
        <v>306.78441511214396</v>
      </c>
      <c r="ES17" s="6">
        <f t="shared" si="9"/>
        <v>138.16679155257702</v>
      </c>
      <c r="ET17" s="6">
        <f t="shared" si="10"/>
        <v>76.69610377803599</v>
      </c>
      <c r="EU17" s="6">
        <f t="shared" si="29"/>
        <v>-18.288532284196265</v>
      </c>
      <c r="EV17" s="6">
        <f t="shared" si="30"/>
        <v>-30.455780747060089</v>
      </c>
      <c r="EW17" s="6"/>
      <c r="EX17" s="6"/>
    </row>
    <row r="18" spans="1:154" s="5" customFormat="1">
      <c r="A18" s="62"/>
      <c r="B18" s="18"/>
      <c r="C18" s="35" t="s">
        <v>57</v>
      </c>
      <c r="D18" s="20"/>
      <c r="E18" s="33">
        <f>E19/100</f>
        <v>0.9</v>
      </c>
      <c r="F18" s="34">
        <f>F19/100</f>
        <v>1</v>
      </c>
      <c r="G18" s="32"/>
      <c r="H18" s="69"/>
      <c r="I18" s="24" t="s">
        <v>1</v>
      </c>
      <c r="J18" s="14"/>
      <c r="K18" s="16"/>
      <c r="L18" s="40">
        <f>1-L17</f>
        <v>0.15000000000000002</v>
      </c>
      <c r="M18" s="30">
        <f>1-M17</f>
        <v>0.85</v>
      </c>
      <c r="N18" s="41"/>
      <c r="O18" s="61"/>
      <c r="AE18" s="62"/>
      <c r="AG18" s="6">
        <f t="shared" si="11"/>
        <v>6.1610965044159402E-2</v>
      </c>
      <c r="AH18" s="6">
        <f t="shared" si="31"/>
        <v>1.125758850721293</v>
      </c>
      <c r="AI18" s="6"/>
      <c r="AJ18" s="6">
        <f t="shared" si="12"/>
        <v>0.64080881492546948</v>
      </c>
      <c r="AK18" s="6">
        <f t="shared" si="32"/>
        <v>0.74359615203583018</v>
      </c>
      <c r="AL18" s="6"/>
      <c r="AM18" s="6"/>
      <c r="AN18" s="6"/>
      <c r="AO18" s="6"/>
      <c r="AP18" s="6"/>
      <c r="AQ18" s="6"/>
      <c r="AR18" s="6"/>
      <c r="AS18" s="6"/>
      <c r="AT18" s="6"/>
      <c r="AU18" s="6"/>
      <c r="AV18" s="6"/>
      <c r="AW18" s="6"/>
      <c r="AX18" s="6"/>
      <c r="AY18" s="6">
        <f t="shared" si="13"/>
        <v>0.15033686123998641</v>
      </c>
      <c r="AZ18" s="6">
        <f t="shared" si="33"/>
        <v>1.2342166395272518</v>
      </c>
      <c r="BA18" s="6"/>
      <c r="BB18" s="6">
        <f t="shared" si="14"/>
        <v>1.0507884504771239</v>
      </c>
      <c r="BC18" s="6">
        <f t="shared" si="34"/>
        <v>0.75523136745432484</v>
      </c>
      <c r="BD18" s="6"/>
      <c r="BE18" s="6"/>
      <c r="BF18" s="6"/>
      <c r="BG18" s="6"/>
      <c r="BH18" s="6"/>
      <c r="BI18" s="6"/>
      <c r="BJ18" s="6"/>
      <c r="BK18" s="6"/>
      <c r="BL18" s="6"/>
      <c r="BM18" s="6"/>
      <c r="BN18" s="6"/>
      <c r="BO18" s="6"/>
      <c r="BQ18" s="6">
        <f t="shared" si="15"/>
        <v>5.8291040176322531</v>
      </c>
      <c r="BR18" s="6">
        <f t="shared" si="35"/>
        <v>83.917361705671283</v>
      </c>
      <c r="BS18" s="6"/>
      <c r="BT18" s="6">
        <f t="shared" si="16"/>
        <v>107.31043142425007</v>
      </c>
      <c r="BU18" s="6">
        <f t="shared" si="36"/>
        <v>56.689468890442683</v>
      </c>
      <c r="BV18" s="6"/>
      <c r="BW18" s="6"/>
      <c r="BX18" s="6"/>
      <c r="BY18" s="6"/>
      <c r="BZ18" s="6"/>
      <c r="CA18" s="6"/>
      <c r="CB18" s="6"/>
      <c r="CC18" s="6"/>
      <c r="CD18" s="6"/>
      <c r="CE18" s="6"/>
      <c r="CF18" s="6"/>
      <c r="CG18" s="6"/>
      <c r="DD18" s="6">
        <f t="shared" si="17"/>
        <v>20.120541592941073</v>
      </c>
      <c r="DE18" s="6">
        <f t="shared" si="37"/>
        <v>67.437888451059777</v>
      </c>
      <c r="DG18" s="6">
        <f t="shared" si="0"/>
        <v>29.551353561780431</v>
      </c>
      <c r="DH18" s="6">
        <f t="shared" si="38"/>
        <v>37.4</v>
      </c>
      <c r="DJ18" s="6">
        <f t="shared" si="39"/>
        <v>1.7735386273663081</v>
      </c>
      <c r="DK18" s="6">
        <f t="shared" si="1"/>
        <v>1.0000000000000004</v>
      </c>
      <c r="DL18" s="6">
        <f t="shared" si="2"/>
        <v>1.0000000000000002</v>
      </c>
      <c r="DM18" s="6">
        <f t="shared" si="18"/>
        <v>0.44107592605737506</v>
      </c>
      <c r="DN18" s="6">
        <f t="shared" si="19"/>
        <v>36.955839769203962</v>
      </c>
      <c r="DO18" s="6">
        <f t="shared" si="3"/>
        <v>98.044160230796038</v>
      </c>
      <c r="DP18" s="6">
        <f t="shared" si="20"/>
        <v>92.36854374676777</v>
      </c>
      <c r="DQ18" s="6">
        <f t="shared" si="4"/>
        <v>7.6314562532322299</v>
      </c>
      <c r="DR18" s="6"/>
      <c r="DS18" s="6">
        <f t="shared" si="21"/>
        <v>122.86499514325952</v>
      </c>
      <c r="DT18" s="6">
        <f t="shared" si="22"/>
        <v>102.01870549823109</v>
      </c>
      <c r="DV18" s="6">
        <f t="shared" si="40"/>
        <v>153.48021716262994</v>
      </c>
      <c r="DW18" s="6">
        <f t="shared" si="41"/>
        <v>104.52904825481006</v>
      </c>
      <c r="DX18" s="6"/>
      <c r="DY18" s="6"/>
      <c r="DZ18" s="6"/>
      <c r="EA18" s="6"/>
      <c r="EB18" s="6"/>
      <c r="EC18" s="6"/>
      <c r="ED18" s="6"/>
      <c r="EF18" s="6">
        <f t="shared" si="42"/>
        <v>1.7735386273663081</v>
      </c>
      <c r="EG18" s="6">
        <f t="shared" si="42"/>
        <v>1.7735386273663081</v>
      </c>
      <c r="EH18" s="6">
        <f t="shared" si="5"/>
        <v>1.0000000000000004</v>
      </c>
      <c r="EI18" s="6">
        <f t="shared" si="6"/>
        <v>1.0000000000000002</v>
      </c>
      <c r="EJ18" s="6">
        <f t="shared" si="23"/>
        <v>0.44107592605737506</v>
      </c>
      <c r="EK18" s="6">
        <f t="shared" si="24"/>
        <v>36.955839769203962</v>
      </c>
      <c r="EL18" s="6">
        <f t="shared" si="7"/>
        <v>98.044160230796038</v>
      </c>
      <c r="EM18" s="6">
        <f t="shared" si="25"/>
        <v>92.36854374676777</v>
      </c>
      <c r="EN18" s="6">
        <f t="shared" si="8"/>
        <v>7.6314562532322299</v>
      </c>
      <c r="EO18" s="6"/>
      <c r="EP18" s="6">
        <f t="shared" si="26"/>
        <v>122.86499514325952</v>
      </c>
      <c r="EQ18" s="6">
        <f t="shared" si="27"/>
        <v>102.01870549823109</v>
      </c>
      <c r="ER18" s="6">
        <f t="shared" si="28"/>
        <v>319.92452033597567</v>
      </c>
      <c r="ES18" s="6">
        <f t="shared" si="9"/>
        <v>135.29076082672975</v>
      </c>
      <c r="ET18" s="6">
        <f t="shared" si="10"/>
        <v>79.981130083993918</v>
      </c>
      <c r="EU18" s="6">
        <f t="shared" si="29"/>
        <v>-12.425765683470232</v>
      </c>
      <c r="EV18" s="6">
        <f t="shared" si="30"/>
        <v>-22.037575414237168</v>
      </c>
      <c r="EW18" s="6"/>
      <c r="EX18" s="6"/>
    </row>
    <row r="19" spans="1:154" s="5" customFormat="1">
      <c r="A19" s="62"/>
      <c r="B19" s="18"/>
      <c r="C19" s="36"/>
      <c r="D19" s="20"/>
      <c r="E19" s="28">
        <v>90</v>
      </c>
      <c r="F19" s="50">
        <v>100</v>
      </c>
      <c r="G19" s="32"/>
      <c r="H19" s="69"/>
      <c r="I19" s="24"/>
      <c r="J19" s="14"/>
      <c r="K19" s="16"/>
      <c r="L19" s="50">
        <v>85</v>
      </c>
      <c r="M19" s="50">
        <v>15</v>
      </c>
      <c r="N19" s="17"/>
      <c r="O19" s="62"/>
      <c r="AE19" s="62"/>
      <c r="AG19" s="6">
        <f t="shared" si="11"/>
        <v>5.0615673840995912E-2</v>
      </c>
      <c r="AH19" s="6">
        <f t="shared" si="31"/>
        <v>1.1654970847794159</v>
      </c>
      <c r="AI19" s="6"/>
      <c r="AJ19" s="6">
        <f t="shared" si="12"/>
        <v>0.63249556280269748</v>
      </c>
      <c r="AK19" s="6">
        <f t="shared" si="32"/>
        <v>0.80070541785238336</v>
      </c>
      <c r="AL19" s="6"/>
      <c r="AM19" s="6"/>
      <c r="AN19" s="6"/>
      <c r="AO19" s="6"/>
      <c r="AP19" s="6"/>
      <c r="AQ19" s="6"/>
      <c r="AR19" s="6"/>
      <c r="AS19" s="6"/>
      <c r="AT19" s="6"/>
      <c r="AU19" s="6"/>
      <c r="AV19" s="6"/>
      <c r="AW19" s="6"/>
      <c r="AX19" s="6"/>
      <c r="AY19" s="6">
        <f t="shared" si="13"/>
        <v>0.12841599032798934</v>
      </c>
      <c r="AZ19" s="6">
        <f t="shared" si="33"/>
        <v>1.2690249740941948</v>
      </c>
      <c r="BA19" s="6"/>
      <c r="BB19" s="6">
        <f t="shared" si="14"/>
        <v>1.0374769813381626</v>
      </c>
      <c r="BC19" s="6">
        <f t="shared" si="34"/>
        <v>0.81181175984276466</v>
      </c>
      <c r="BD19" s="6"/>
      <c r="BE19" s="6"/>
      <c r="BF19" s="6"/>
      <c r="BG19" s="6"/>
      <c r="BH19" s="6"/>
      <c r="BI19" s="6"/>
      <c r="BJ19" s="6"/>
      <c r="BK19" s="6"/>
      <c r="BL19" s="6"/>
      <c r="BM19" s="6"/>
      <c r="BN19" s="6"/>
      <c r="BO19" s="6"/>
      <c r="BQ19" s="6">
        <f t="shared" si="15"/>
        <v>4.7758653428116364</v>
      </c>
      <c r="BR19" s="6">
        <f t="shared" si="35"/>
        <v>86.921117991777137</v>
      </c>
      <c r="BS19" s="6"/>
      <c r="BT19" s="6">
        <f t="shared" si="16"/>
        <v>105.95275489466624</v>
      </c>
      <c r="BU19" s="6">
        <f t="shared" si="36"/>
        <v>60.930856668149829</v>
      </c>
      <c r="BV19" s="6"/>
      <c r="BW19" s="6"/>
      <c r="BX19" s="6"/>
      <c r="BY19" s="6"/>
      <c r="BZ19" s="6"/>
      <c r="CA19" s="6"/>
      <c r="CB19" s="6"/>
      <c r="CC19" s="6"/>
      <c r="CD19" s="6"/>
      <c r="CE19" s="6"/>
      <c r="CF19" s="6"/>
      <c r="CG19" s="6"/>
      <c r="DD19" s="6">
        <f t="shared" si="17"/>
        <v>17.791432228903474</v>
      </c>
      <c r="DE19" s="6">
        <f t="shared" si="37"/>
        <v>68.917984430557055</v>
      </c>
      <c r="DG19" s="6">
        <f t="shared" si="0"/>
        <v>28.696384463194462</v>
      </c>
      <c r="DH19" s="6">
        <f t="shared" si="38"/>
        <v>40.199999999999996</v>
      </c>
      <c r="DJ19" s="6">
        <f t="shared" si="39"/>
        <v>1.8817833823873806</v>
      </c>
      <c r="DK19" s="6">
        <f t="shared" si="1"/>
        <v>1.0000000000000004</v>
      </c>
      <c r="DL19" s="6">
        <f t="shared" si="2"/>
        <v>1.0000000000000002</v>
      </c>
      <c r="DM19" s="6">
        <f t="shared" si="18"/>
        <v>0.40528233329592167</v>
      </c>
      <c r="DN19" s="6">
        <f t="shared" si="19"/>
        <v>40.602929176157943</v>
      </c>
      <c r="DO19" s="6">
        <f t="shared" si="3"/>
        <v>94.397070823842057</v>
      </c>
      <c r="DP19" s="6">
        <f t="shared" si="20"/>
        <v>93.24868262591994</v>
      </c>
      <c r="DQ19" s="6">
        <f t="shared" si="4"/>
        <v>6.7513173740800596</v>
      </c>
      <c r="DR19" s="6"/>
      <c r="DS19" s="6">
        <f t="shared" si="21"/>
        <v>125.6203873982145</v>
      </c>
      <c r="DT19" s="6">
        <f t="shared" si="22"/>
        <v>96.984703717477302</v>
      </c>
      <c r="DV19" s="6">
        <f t="shared" si="40"/>
        <v>150.86774534843357</v>
      </c>
      <c r="DW19" s="6">
        <f t="shared" si="41"/>
        <v>110.05379197246882</v>
      </c>
      <c r="DX19" s="6"/>
      <c r="DY19" s="6"/>
      <c r="DZ19" s="6"/>
      <c r="EA19" s="6"/>
      <c r="EB19" s="6"/>
      <c r="EC19" s="6"/>
      <c r="ED19" s="6"/>
      <c r="EF19" s="6">
        <f t="shared" si="42"/>
        <v>1.8817833823873806</v>
      </c>
      <c r="EG19" s="6">
        <f t="shared" si="42"/>
        <v>1.8817833823873806</v>
      </c>
      <c r="EH19" s="6">
        <f t="shared" si="5"/>
        <v>1.0000000000000004</v>
      </c>
      <c r="EI19" s="6">
        <f t="shared" si="6"/>
        <v>1.0000000000000002</v>
      </c>
      <c r="EJ19" s="6">
        <f t="shared" si="23"/>
        <v>0.40528233329592167</v>
      </c>
      <c r="EK19" s="6">
        <f t="shared" si="24"/>
        <v>40.602929176157943</v>
      </c>
      <c r="EL19" s="6">
        <f t="shared" si="7"/>
        <v>94.397070823842057</v>
      </c>
      <c r="EM19" s="6">
        <f t="shared" si="25"/>
        <v>93.24868262591994</v>
      </c>
      <c r="EN19" s="6">
        <f t="shared" si="8"/>
        <v>6.7513173740800596</v>
      </c>
      <c r="EO19" s="6"/>
      <c r="EP19" s="6">
        <f t="shared" si="26"/>
        <v>125.6203873982145</v>
      </c>
      <c r="EQ19" s="6">
        <f t="shared" si="27"/>
        <v>96.984703717477302</v>
      </c>
      <c r="ER19" s="6">
        <f t="shared" si="28"/>
        <v>333.37506121250249</v>
      </c>
      <c r="ES19" s="6">
        <f t="shared" si="9"/>
        <v>132.86932930195567</v>
      </c>
      <c r="ET19" s="6">
        <f t="shared" si="10"/>
        <v>83.343765303125622</v>
      </c>
      <c r="EU19" s="6">
        <f t="shared" si="29"/>
        <v>-7.2489419037411693</v>
      </c>
      <c r="EV19" s="6">
        <f t="shared" si="30"/>
        <v>-13.64093841435168</v>
      </c>
      <c r="EW19" s="6"/>
      <c r="EX19" s="6"/>
    </row>
    <row r="20" spans="1:154" s="5" customFormat="1">
      <c r="A20" s="62"/>
      <c r="B20" s="18"/>
      <c r="C20" s="35" t="s">
        <v>8</v>
      </c>
      <c r="D20" s="20"/>
      <c r="E20" s="31">
        <f>(E9*E18+F9*F18)/($L$22/((1+$E$16/100)*(1+$E$13/100))+$M$22/((1+$F$16/100)*(1+$F$13/100)))</f>
        <v>226.0734100433026</v>
      </c>
      <c r="F20" s="32"/>
      <c r="G20" s="32"/>
      <c r="H20" s="70"/>
      <c r="I20" s="24" t="s">
        <v>56</v>
      </c>
      <c r="J20" s="14"/>
      <c r="K20" s="15"/>
      <c r="L20" s="39">
        <v>1.526090273114149</v>
      </c>
      <c r="M20" s="42">
        <v>1.526090273114149</v>
      </c>
      <c r="N20" s="28"/>
      <c r="O20" s="61"/>
      <c r="AE20" s="62"/>
      <c r="AG20" s="6">
        <f t="shared" si="11"/>
        <v>4.1857629091656107E-2</v>
      </c>
      <c r="AH20" s="6">
        <f t="shared" si="31"/>
        <v>1.2052353188375389</v>
      </c>
      <c r="AI20" s="6"/>
      <c r="AJ20" s="6">
        <f t="shared" si="12"/>
        <v>0.62485227881017513</v>
      </c>
      <c r="AK20" s="6">
        <f t="shared" si="32"/>
        <v>0.85781468366893654</v>
      </c>
      <c r="AL20" s="6"/>
      <c r="AM20" s="6"/>
      <c r="AN20" s="6"/>
      <c r="AO20" s="6"/>
      <c r="AP20" s="6"/>
      <c r="AQ20" s="6"/>
      <c r="AR20" s="6"/>
      <c r="AS20" s="6"/>
      <c r="AT20" s="6"/>
      <c r="AU20" s="6"/>
      <c r="AV20" s="6"/>
      <c r="AW20" s="6"/>
      <c r="AX20" s="6"/>
      <c r="AY20" s="6">
        <f t="shared" si="13"/>
        <v>0.1101602696405561</v>
      </c>
      <c r="AZ20" s="6">
        <f t="shared" si="33"/>
        <v>1.3038333086611378</v>
      </c>
      <c r="BA20" s="6"/>
      <c r="BB20" s="6">
        <f t="shared" si="14"/>
        <v>1.0252147431185672</v>
      </c>
      <c r="BC20" s="6">
        <f t="shared" si="34"/>
        <v>0.86839215223120447</v>
      </c>
      <c r="BD20" s="6"/>
      <c r="BE20" s="6"/>
      <c r="BF20" s="6"/>
      <c r="BG20" s="6"/>
      <c r="BH20" s="6"/>
      <c r="BI20" s="6"/>
      <c r="BJ20" s="6"/>
      <c r="BK20" s="6"/>
      <c r="BL20" s="6"/>
      <c r="BM20" s="6"/>
      <c r="BN20" s="6"/>
      <c r="BO20" s="6"/>
      <c r="BQ20" s="6">
        <f t="shared" si="15"/>
        <v>3.9395175336696591</v>
      </c>
      <c r="BR20" s="6">
        <f t="shared" si="35"/>
        <v>89.924874277882992</v>
      </c>
      <c r="BS20" s="6"/>
      <c r="BT20" s="6">
        <f t="shared" si="16"/>
        <v>104.70196465232543</v>
      </c>
      <c r="BU20" s="6">
        <f t="shared" si="36"/>
        <v>65.172244445856975</v>
      </c>
      <c r="BV20" s="6"/>
      <c r="BW20" s="6"/>
      <c r="BX20" s="6"/>
      <c r="BY20" s="6"/>
      <c r="BZ20" s="6"/>
      <c r="CA20" s="6"/>
      <c r="CB20" s="6"/>
      <c r="CC20" s="6"/>
      <c r="CD20" s="6"/>
      <c r="CE20" s="6"/>
      <c r="CF20" s="6"/>
      <c r="CG20" s="6"/>
      <c r="DD20" s="6">
        <f t="shared" si="17"/>
        <v>15.773115985610138</v>
      </c>
      <c r="DE20" s="6">
        <f t="shared" si="37"/>
        <v>70.398080410054334</v>
      </c>
      <c r="DG20" s="6">
        <f t="shared" si="0"/>
        <v>27.79296866385333</v>
      </c>
      <c r="DH20" s="6">
        <f t="shared" si="38"/>
        <v>42.999999999999993</v>
      </c>
      <c r="DJ20" s="6">
        <f t="shared" si="39"/>
        <v>1.9900281374084532</v>
      </c>
      <c r="DK20" s="6">
        <f t="shared" si="1"/>
        <v>1.0000000000000004</v>
      </c>
      <c r="DL20" s="6">
        <f t="shared" si="2"/>
        <v>1.0000000000000002</v>
      </c>
      <c r="DM20" s="6">
        <f t="shared" si="18"/>
        <v>0.37416077924646179</v>
      </c>
      <c r="DN20" s="6">
        <f t="shared" si="19"/>
        <v>44.341085731829615</v>
      </c>
      <c r="DO20" s="6">
        <f t="shared" si="3"/>
        <v>90.658914268170378</v>
      </c>
      <c r="DP20" s="6">
        <f t="shared" si="20"/>
        <v>94.013939410314705</v>
      </c>
      <c r="DQ20" s="6">
        <f t="shared" si="4"/>
        <v>5.9860605896852945</v>
      </c>
      <c r="DR20" s="6"/>
      <c r="DS20" s="6">
        <f t="shared" si="21"/>
        <v>128.1783232542042</v>
      </c>
      <c r="DT20" s="6">
        <f t="shared" si="22"/>
        <v>92.034430043131991</v>
      </c>
      <c r="DV20" s="6">
        <f t="shared" si="40"/>
        <v>148.42452728530483</v>
      </c>
      <c r="DW20" s="6">
        <f t="shared" si="41"/>
        <v>115.57853569012757</v>
      </c>
      <c r="DX20" s="6"/>
      <c r="DY20" s="6"/>
      <c r="DZ20" s="6"/>
      <c r="EA20" s="6"/>
      <c r="EB20" s="6"/>
      <c r="EC20" s="6"/>
      <c r="ED20" s="6"/>
      <c r="EF20" s="6">
        <f t="shared" si="42"/>
        <v>1.9900281374084532</v>
      </c>
      <c r="EG20" s="6">
        <f t="shared" si="42"/>
        <v>1.9900281374084532</v>
      </c>
      <c r="EH20" s="6">
        <f t="shared" si="5"/>
        <v>1.0000000000000004</v>
      </c>
      <c r="EI20" s="6">
        <f t="shared" si="6"/>
        <v>1.0000000000000002</v>
      </c>
      <c r="EJ20" s="6">
        <f t="shared" si="23"/>
        <v>0.37416077924646179</v>
      </c>
      <c r="EK20" s="6">
        <f t="shared" si="24"/>
        <v>44.341085731829615</v>
      </c>
      <c r="EL20" s="6">
        <f t="shared" si="7"/>
        <v>90.658914268170378</v>
      </c>
      <c r="EM20" s="6">
        <f t="shared" si="25"/>
        <v>94.013939410314705</v>
      </c>
      <c r="EN20" s="6">
        <f t="shared" si="8"/>
        <v>5.9860605896852945</v>
      </c>
      <c r="EO20" s="6"/>
      <c r="EP20" s="6">
        <f t="shared" si="26"/>
        <v>128.1783232542042</v>
      </c>
      <c r="EQ20" s="6">
        <f t="shared" si="27"/>
        <v>92.034430043131991</v>
      </c>
      <c r="ER20" s="6">
        <f t="shared" si="28"/>
        <v>347.11289992483461</v>
      </c>
      <c r="ES20" s="6">
        <f t="shared" si="9"/>
        <v>130.81959498454682</v>
      </c>
      <c r="ET20" s="6">
        <f t="shared" si="10"/>
        <v>86.778224981208652</v>
      </c>
      <c r="EU20" s="6">
        <f t="shared" si="29"/>
        <v>-2.6412717303426234</v>
      </c>
      <c r="EV20" s="6">
        <f t="shared" si="30"/>
        <v>-5.2562050619233389</v>
      </c>
      <c r="EW20" s="6"/>
      <c r="EX20" s="6"/>
    </row>
    <row r="21" spans="1:154" s="5" customFormat="1">
      <c r="A21" s="62"/>
      <c r="B21" s="18"/>
      <c r="C21" s="36"/>
      <c r="D21" s="18"/>
      <c r="E21" s="32"/>
      <c r="F21" s="32"/>
      <c r="G21" s="32"/>
      <c r="H21" s="69"/>
      <c r="I21" s="24"/>
      <c r="J21" s="14"/>
      <c r="K21" s="16"/>
      <c r="L21" s="32"/>
      <c r="M21" s="32"/>
      <c r="N21" s="17"/>
      <c r="O21" s="62"/>
      <c r="AE21" s="62"/>
      <c r="AG21" s="6">
        <f t="shared" si="11"/>
        <v>3.4829004587001861E-2</v>
      </c>
      <c r="AH21" s="6">
        <f t="shared" si="31"/>
        <v>1.2449735528956618</v>
      </c>
      <c r="AI21" s="6"/>
      <c r="AJ21" s="6">
        <f t="shared" si="12"/>
        <v>0.61778545337149837</v>
      </c>
      <c r="AK21" s="6">
        <f t="shared" si="32"/>
        <v>0.91492394948548972</v>
      </c>
      <c r="AL21" s="6"/>
      <c r="AM21" s="6"/>
      <c r="AN21" s="6"/>
      <c r="AO21" s="6"/>
      <c r="AP21" s="6"/>
      <c r="AQ21" s="6"/>
      <c r="AR21" s="6"/>
      <c r="AS21" s="6"/>
      <c r="AT21" s="6"/>
      <c r="AU21" s="6"/>
      <c r="AV21" s="6"/>
      <c r="AW21" s="6"/>
      <c r="AX21" s="6"/>
      <c r="AY21" s="6">
        <f t="shared" si="13"/>
        <v>9.4882369040235046E-2</v>
      </c>
      <c r="AZ21" s="6">
        <f t="shared" si="33"/>
        <v>1.3386416432280808</v>
      </c>
      <c r="BA21" s="6"/>
      <c r="BB21" s="6">
        <f t="shared" si="14"/>
        <v>1.0138583053296757</v>
      </c>
      <c r="BC21" s="6">
        <f t="shared" si="34"/>
        <v>0.92497254461964429</v>
      </c>
      <c r="BD21" s="6"/>
      <c r="BE21" s="6"/>
      <c r="BF21" s="6"/>
      <c r="BG21" s="6"/>
      <c r="BH21" s="6"/>
      <c r="BI21" s="6"/>
      <c r="BJ21" s="6"/>
      <c r="BK21" s="6"/>
      <c r="BL21" s="6"/>
      <c r="BM21" s="6"/>
      <c r="BN21" s="6"/>
      <c r="BO21" s="6"/>
      <c r="BQ21" s="6">
        <f t="shared" si="15"/>
        <v>3.2702534771751379</v>
      </c>
      <c r="BR21" s="6">
        <f t="shared" si="35"/>
        <v>92.928630563988847</v>
      </c>
      <c r="BS21" s="6"/>
      <c r="BT21" s="6">
        <f t="shared" si="16"/>
        <v>103.54346565638491</v>
      </c>
      <c r="BU21" s="6">
        <f t="shared" si="36"/>
        <v>69.413632223564122</v>
      </c>
      <c r="BV21" s="6"/>
      <c r="BW21" s="6"/>
      <c r="BX21" s="6"/>
      <c r="BY21" s="6"/>
      <c r="BZ21" s="6"/>
      <c r="CA21" s="6"/>
      <c r="CB21" s="6"/>
      <c r="CC21" s="6"/>
      <c r="CD21" s="6"/>
      <c r="CE21" s="6"/>
      <c r="CF21" s="6"/>
      <c r="CG21" s="6"/>
      <c r="DD21" s="6">
        <f t="shared" si="17"/>
        <v>14.01884313809467</v>
      </c>
      <c r="DE21" s="6">
        <f t="shared" si="37"/>
        <v>71.878176389551612</v>
      </c>
      <c r="DG21" s="6">
        <f t="shared" si="0"/>
        <v>26.835769567209638</v>
      </c>
      <c r="DH21" s="6">
        <f t="shared" si="38"/>
        <v>45.79999999999999</v>
      </c>
      <c r="DJ21" s="6">
        <f t="shared" si="39"/>
        <v>2.098272892429526</v>
      </c>
      <c r="DK21" s="6">
        <f t="shared" si="1"/>
        <v>1.0000000000000004</v>
      </c>
      <c r="DL21" s="6">
        <f t="shared" si="2"/>
        <v>1.0000000000000002</v>
      </c>
      <c r="DM21" s="6">
        <f t="shared" si="18"/>
        <v>0.34689431749470445</v>
      </c>
      <c r="DN21" s="6">
        <f t="shared" si="19"/>
        <v>48.167442691733122</v>
      </c>
      <c r="DO21" s="6">
        <f t="shared" si="3"/>
        <v>86.832557308266871</v>
      </c>
      <c r="DP21" s="6">
        <f t="shared" si="20"/>
        <v>94.684402228746279</v>
      </c>
      <c r="DQ21" s="6">
        <f t="shared" si="4"/>
        <v>5.3155977712537208</v>
      </c>
      <c r="DR21" s="6"/>
      <c r="DS21" s="6">
        <f t="shared" si="21"/>
        <v>130.56595153151463</v>
      </c>
      <c r="DT21" s="6">
        <f t="shared" si="22"/>
        <v>87.155187947676183</v>
      </c>
      <c r="DV21" s="6">
        <f t="shared" si="40"/>
        <v>146.13226053164178</v>
      </c>
      <c r="DW21" s="6">
        <f t="shared" si="41"/>
        <v>121.10327940778632</v>
      </c>
      <c r="DX21" s="6"/>
      <c r="DY21" s="6"/>
      <c r="DZ21" s="6"/>
      <c r="EA21" s="6"/>
      <c r="EB21" s="6"/>
      <c r="EC21" s="6"/>
      <c r="ED21" s="6"/>
      <c r="EF21" s="6">
        <f t="shared" si="42"/>
        <v>2.098272892429526</v>
      </c>
      <c r="EG21" s="6">
        <f t="shared" si="42"/>
        <v>2.098272892429526</v>
      </c>
      <c r="EH21" s="6">
        <f t="shared" si="5"/>
        <v>1.0000000000000004</v>
      </c>
      <c r="EI21" s="6">
        <f t="shared" si="6"/>
        <v>1.0000000000000002</v>
      </c>
      <c r="EJ21" s="6">
        <f t="shared" si="23"/>
        <v>0.34689431749470445</v>
      </c>
      <c r="EK21" s="6">
        <f t="shared" si="24"/>
        <v>48.167442691733122</v>
      </c>
      <c r="EL21" s="6">
        <f t="shared" si="7"/>
        <v>86.832557308266871</v>
      </c>
      <c r="EM21" s="6">
        <f t="shared" si="25"/>
        <v>94.684402228746279</v>
      </c>
      <c r="EN21" s="6">
        <f t="shared" si="8"/>
        <v>5.3155977712537208</v>
      </c>
      <c r="EO21" s="6"/>
      <c r="EP21" s="6">
        <f t="shared" si="26"/>
        <v>130.56595153151463</v>
      </c>
      <c r="EQ21" s="6">
        <f t="shared" si="27"/>
        <v>87.155187947676183</v>
      </c>
      <c r="ER21" s="6">
        <f t="shared" si="28"/>
        <v>361.11818472052073</v>
      </c>
      <c r="ES21" s="6">
        <f t="shared" si="9"/>
        <v>129.07693728378428</v>
      </c>
      <c r="ET21" s="6">
        <f t="shared" si="10"/>
        <v>90.279546180130183</v>
      </c>
      <c r="EU21" s="6">
        <f t="shared" si="29"/>
        <v>1.4890142477303527</v>
      </c>
      <c r="EV21" s="6">
        <f t="shared" si="30"/>
        <v>3.124358232454</v>
      </c>
      <c r="EW21" s="6"/>
      <c r="EX21" s="6"/>
    </row>
    <row r="22" spans="1:154" s="1" customFormat="1">
      <c r="A22" s="62"/>
      <c r="B22" s="18"/>
      <c r="C22" s="35" t="s">
        <v>11</v>
      </c>
      <c r="D22" s="20"/>
      <c r="E22" s="31">
        <f>1.62144018576844*E12^L22*F12^M22</f>
        <v>226.07341004330237</v>
      </c>
      <c r="F22" s="32"/>
      <c r="G22" s="32"/>
      <c r="H22" s="70"/>
      <c r="I22" s="24" t="s">
        <v>44</v>
      </c>
      <c r="J22" s="14"/>
      <c r="K22" s="15"/>
      <c r="L22" s="49">
        <f>1-M22</f>
        <v>0.75</v>
      </c>
      <c r="M22" s="42">
        <f>M23/100</f>
        <v>0.25</v>
      </c>
      <c r="N22" s="12"/>
      <c r="O22" s="65"/>
      <c r="AE22" s="61"/>
      <c r="AG22" s="6">
        <f t="shared" si="11"/>
        <v>2.9148492076461415E-2</v>
      </c>
      <c r="AH22" s="7">
        <f t="shared" si="31"/>
        <v>1.2847117869537847</v>
      </c>
      <c r="AI22" s="7"/>
      <c r="AJ22" s="6">
        <f t="shared" si="12"/>
        <v>0.61121948148497607</v>
      </c>
      <c r="AK22" s="7">
        <f t="shared" si="32"/>
        <v>0.9720332153020429</v>
      </c>
      <c r="AL22" s="7"/>
      <c r="AM22" s="7"/>
      <c r="AN22" s="7"/>
      <c r="AO22" s="7"/>
      <c r="AP22" s="7"/>
      <c r="AQ22" s="7"/>
      <c r="AR22" s="7"/>
      <c r="AS22" s="7"/>
      <c r="AT22" s="7"/>
      <c r="AU22" s="7"/>
      <c r="AV22" s="7"/>
      <c r="AW22" s="7"/>
      <c r="AX22" s="7"/>
      <c r="AY22" s="6">
        <f t="shared" si="13"/>
        <v>8.2037156428476699E-2</v>
      </c>
      <c r="AZ22" s="7">
        <f t="shared" si="33"/>
        <v>1.3734499777950238</v>
      </c>
      <c r="BA22" s="7"/>
      <c r="BB22" s="6">
        <f t="shared" si="14"/>
        <v>1.0032911684973524</v>
      </c>
      <c r="BC22" s="7">
        <f t="shared" si="34"/>
        <v>0.9815529370080841</v>
      </c>
      <c r="BD22" s="7"/>
      <c r="BE22" s="7"/>
      <c r="BF22" s="7"/>
      <c r="BG22" s="7"/>
      <c r="BH22" s="7"/>
      <c r="BI22" s="7"/>
      <c r="BJ22" s="7"/>
      <c r="BK22" s="7"/>
      <c r="BL22" s="7"/>
      <c r="BM22" s="7"/>
      <c r="BN22" s="7"/>
      <c r="BO22" s="7"/>
      <c r="BQ22" s="7">
        <f t="shared" si="15"/>
        <v>2.7308156097664105</v>
      </c>
      <c r="BR22" s="7">
        <f t="shared" si="35"/>
        <v>95.932386850094701</v>
      </c>
      <c r="BS22" s="7"/>
      <c r="BT22" s="7">
        <f t="shared" si="16"/>
        <v>102.46540039057901</v>
      </c>
      <c r="BU22" s="7">
        <f t="shared" si="36"/>
        <v>73.655020001271268</v>
      </c>
      <c r="BV22" s="7"/>
      <c r="BW22" s="7"/>
      <c r="BX22" s="7"/>
      <c r="BY22" s="7"/>
      <c r="BZ22" s="7"/>
      <c r="CA22" s="7"/>
      <c r="CB22" s="7"/>
      <c r="CC22" s="7"/>
      <c r="CD22" s="7"/>
      <c r="CE22" s="7"/>
      <c r="CF22" s="7"/>
      <c r="CG22" s="7"/>
      <c r="DD22" s="7">
        <f t="shared" si="17"/>
        <v>12.489659238756575</v>
      </c>
      <c r="DE22" s="7">
        <f t="shared" si="37"/>
        <v>73.35827236904889</v>
      </c>
      <c r="DG22" s="7">
        <f t="shared" si="0"/>
        <v>25.818546725246691</v>
      </c>
      <c r="DH22" s="7">
        <f t="shared" si="38"/>
        <v>48.599999999999987</v>
      </c>
      <c r="DJ22" s="7">
        <f t="shared" si="39"/>
        <v>2.2065176474505988</v>
      </c>
      <c r="DK22" s="7">
        <f t="shared" si="1"/>
        <v>1.0000000000000004</v>
      </c>
      <c r="DL22" s="7">
        <f t="shared" si="2"/>
        <v>1.0000000000000002</v>
      </c>
      <c r="DM22" s="7">
        <f t="shared" si="18"/>
        <v>0.32284154803742865</v>
      </c>
      <c r="DN22" s="7">
        <f t="shared" si="19"/>
        <v>52.079368653503543</v>
      </c>
      <c r="DO22" s="7">
        <f t="shared" si="3"/>
        <v>82.920631346496464</v>
      </c>
      <c r="DP22" s="7">
        <f t="shared" si="20"/>
        <v>95.275842649151102</v>
      </c>
      <c r="DQ22" s="7">
        <f t="shared" si="4"/>
        <v>4.7241573508488983</v>
      </c>
      <c r="DR22" s="7"/>
      <c r="DS22" s="7">
        <f t="shared" si="21"/>
        <v>132.80531602222374</v>
      </c>
      <c r="DT22" s="7">
        <f t="shared" si="22"/>
        <v>82.336440411382355</v>
      </c>
      <c r="DV22" s="6">
        <f t="shared" si="40"/>
        <v>143.97534507581946</v>
      </c>
      <c r="DW22" s="7">
        <f t="shared" si="41"/>
        <v>126.62802312544507</v>
      </c>
      <c r="DX22" s="7"/>
      <c r="DY22" s="7"/>
      <c r="DZ22" s="7"/>
      <c r="EA22" s="7"/>
      <c r="EB22" s="7"/>
      <c r="EC22" s="7"/>
      <c r="ED22" s="7"/>
      <c r="EF22" s="6">
        <f t="shared" si="42"/>
        <v>2.2065176474505988</v>
      </c>
      <c r="EG22" s="6">
        <f t="shared" si="42"/>
        <v>2.2065176474505988</v>
      </c>
      <c r="EH22" s="7">
        <f t="shared" si="5"/>
        <v>1.0000000000000004</v>
      </c>
      <c r="EI22" s="7">
        <f t="shared" si="6"/>
        <v>1.0000000000000002</v>
      </c>
      <c r="EJ22" s="7">
        <f t="shared" si="23"/>
        <v>0.32284154803742865</v>
      </c>
      <c r="EK22" s="7">
        <f t="shared" si="24"/>
        <v>52.079368653503543</v>
      </c>
      <c r="EL22" s="7">
        <f t="shared" si="7"/>
        <v>82.920631346496464</v>
      </c>
      <c r="EM22" s="7">
        <f t="shared" si="25"/>
        <v>95.275842649151102</v>
      </c>
      <c r="EN22" s="7">
        <f t="shared" si="8"/>
        <v>4.7241573508488983</v>
      </c>
      <c r="EO22" s="7"/>
      <c r="EP22" s="7">
        <f t="shared" si="26"/>
        <v>132.80531602222374</v>
      </c>
      <c r="EQ22" s="7">
        <f t="shared" si="27"/>
        <v>82.336440411382355</v>
      </c>
      <c r="ER22" s="7">
        <f t="shared" si="28"/>
        <v>375.37371388967279</v>
      </c>
      <c r="ES22" s="7">
        <f t="shared" si="9"/>
        <v>127.59031668862178</v>
      </c>
      <c r="ET22" s="7">
        <f t="shared" si="10"/>
        <v>93.843428472418196</v>
      </c>
      <c r="EU22" s="7">
        <f t="shared" si="29"/>
        <v>5.214999333601952</v>
      </c>
      <c r="EV22" s="7">
        <f t="shared" si="30"/>
        <v>11.506988061035841</v>
      </c>
      <c r="EW22" s="7"/>
      <c r="EX22" s="7"/>
    </row>
    <row r="23" spans="1:154" s="1" customFormat="1">
      <c r="A23" s="62"/>
      <c r="B23" s="18"/>
      <c r="C23" s="36"/>
      <c r="D23" s="18"/>
      <c r="E23" s="32"/>
      <c r="F23" s="32"/>
      <c r="G23" s="32"/>
      <c r="H23" s="71"/>
      <c r="I23" s="17"/>
      <c r="J23" s="17"/>
      <c r="K23" s="17"/>
      <c r="L23" s="17"/>
      <c r="M23" s="50">
        <v>25</v>
      </c>
      <c r="N23" s="16"/>
      <c r="O23" s="61"/>
      <c r="AE23" s="61"/>
      <c r="AG23" s="6">
        <f t="shared" si="11"/>
        <v>2.4527136762075137E-2</v>
      </c>
      <c r="AH23" s="7">
        <f t="shared" si="31"/>
        <v>1.3244500210119077</v>
      </c>
      <c r="AI23" s="7"/>
      <c r="AJ23" s="6">
        <f t="shared" si="12"/>
        <v>0.60509241053632856</v>
      </c>
      <c r="AK23" s="7">
        <f t="shared" si="32"/>
        <v>1.0291424811185961</v>
      </c>
      <c r="AL23" s="7"/>
      <c r="AM23" s="7"/>
      <c r="AN23" s="7"/>
      <c r="AO23" s="7"/>
      <c r="AP23" s="7"/>
      <c r="AQ23" s="7"/>
      <c r="AR23" s="7"/>
      <c r="AS23" s="7"/>
      <c r="AT23" s="7"/>
      <c r="AU23" s="7"/>
      <c r="AV23" s="7"/>
      <c r="AW23" s="7"/>
      <c r="AX23" s="7"/>
      <c r="AY23" s="6">
        <f t="shared" si="13"/>
        <v>7.1189656455804537E-2</v>
      </c>
      <c r="AZ23" s="7">
        <f t="shared" si="33"/>
        <v>1.4082583123619667</v>
      </c>
      <c r="BA23" s="7"/>
      <c r="BB23" s="6">
        <f t="shared" si="14"/>
        <v>0.99341748531976004</v>
      </c>
      <c r="BC23" s="7">
        <f t="shared" si="34"/>
        <v>1.0381333293965238</v>
      </c>
      <c r="BD23" s="7"/>
      <c r="BE23" s="7"/>
      <c r="BF23" s="7"/>
      <c r="BG23" s="7"/>
      <c r="BH23" s="7"/>
      <c r="BI23" s="7"/>
      <c r="BJ23" s="7"/>
      <c r="BK23" s="7"/>
      <c r="BL23" s="7"/>
      <c r="BM23" s="7"/>
      <c r="BN23" s="7"/>
      <c r="BO23" s="7"/>
      <c r="BQ23" s="7">
        <f t="shared" si="15"/>
        <v>2.2930697364733681</v>
      </c>
      <c r="BR23" s="7">
        <f t="shared" si="35"/>
        <v>98.936143136200556</v>
      </c>
      <c r="BS23" s="7"/>
      <c r="BT23" s="7">
        <f t="shared" si="16"/>
        <v>101.45801125816045</v>
      </c>
      <c r="BU23" s="7">
        <f t="shared" si="36"/>
        <v>77.896407778978414</v>
      </c>
      <c r="BV23" s="7"/>
      <c r="BW23" s="7"/>
      <c r="BX23" s="7"/>
      <c r="BY23" s="7"/>
      <c r="BZ23" s="7"/>
      <c r="CA23" s="7"/>
      <c r="CB23" s="7"/>
      <c r="CC23" s="7"/>
      <c r="CD23" s="7"/>
      <c r="CE23" s="7"/>
      <c r="CF23" s="7"/>
      <c r="CG23" s="7"/>
      <c r="DD23" s="7">
        <f t="shared" si="17"/>
        <v>11.152982878747354</v>
      </c>
      <c r="DE23" s="7">
        <f t="shared" si="37"/>
        <v>74.838368348546169</v>
      </c>
      <c r="DG23" s="7">
        <f t="shared" si="0"/>
        <v>24.733943178728069</v>
      </c>
      <c r="DH23" s="7">
        <f t="shared" si="38"/>
        <v>51.399999999999984</v>
      </c>
      <c r="DJ23" s="7">
        <f t="shared" si="39"/>
        <v>2.3147624024716715</v>
      </c>
      <c r="DK23" s="7">
        <f t="shared" si="1"/>
        <v>1.0000000000000004</v>
      </c>
      <c r="DL23" s="7">
        <f t="shared" si="2"/>
        <v>1.0000000000000002</v>
      </c>
      <c r="DM23" s="7">
        <f t="shared" si="18"/>
        <v>0.30149252100665525</v>
      </c>
      <c r="DN23" s="7">
        <f t="shared" si="19"/>
        <v>56.074437496724371</v>
      </c>
      <c r="DO23" s="7">
        <f t="shared" si="3"/>
        <v>78.925562503275629</v>
      </c>
      <c r="DP23" s="7">
        <f t="shared" si="20"/>
        <v>95.800799974532779</v>
      </c>
      <c r="DQ23" s="7">
        <f t="shared" si="4"/>
        <v>4.1992000254672206</v>
      </c>
      <c r="DR23" s="7"/>
      <c r="DS23" s="7">
        <f t="shared" si="21"/>
        <v>134.9145311383177</v>
      </c>
      <c r="DT23" s="7">
        <f t="shared" si="22"/>
        <v>77.569365954245015</v>
      </c>
      <c r="DV23" s="6">
        <f t="shared" si="40"/>
        <v>141.94038655768139</v>
      </c>
      <c r="DW23" s="7">
        <f t="shared" si="41"/>
        <v>132.15276684310382</v>
      </c>
      <c r="DX23" s="7"/>
      <c r="DY23" s="7"/>
      <c r="DZ23" s="7"/>
      <c r="EA23" s="7"/>
      <c r="EB23" s="7"/>
      <c r="EC23" s="7"/>
      <c r="ED23" s="7"/>
      <c r="EF23" s="6">
        <f t="shared" si="42"/>
        <v>2.3147624024716715</v>
      </c>
      <c r="EG23" s="6">
        <f t="shared" si="42"/>
        <v>2.3147624024716715</v>
      </c>
      <c r="EH23" s="7">
        <f t="shared" si="5"/>
        <v>1.0000000000000004</v>
      </c>
      <c r="EI23" s="7">
        <f t="shared" si="6"/>
        <v>1.0000000000000002</v>
      </c>
      <c r="EJ23" s="7">
        <f t="shared" si="23"/>
        <v>0.30149252100665525</v>
      </c>
      <c r="EK23" s="7">
        <f t="shared" si="24"/>
        <v>56.074437496724371</v>
      </c>
      <c r="EL23" s="7">
        <f t="shared" si="7"/>
        <v>78.925562503275629</v>
      </c>
      <c r="EM23" s="7">
        <f t="shared" si="25"/>
        <v>95.800799974532779</v>
      </c>
      <c r="EN23" s="7">
        <f t="shared" si="8"/>
        <v>4.1992000254672206</v>
      </c>
      <c r="EO23" s="7"/>
      <c r="EP23" s="7">
        <f t="shared" si="26"/>
        <v>134.9145311383177</v>
      </c>
      <c r="EQ23" s="7">
        <f t="shared" si="27"/>
        <v>77.569365954245015</v>
      </c>
      <c r="ER23" s="7">
        <f t="shared" si="28"/>
        <v>389.86445018031645</v>
      </c>
      <c r="ES23" s="7">
        <f t="shared" si="9"/>
        <v>126.31894198861119</v>
      </c>
      <c r="ET23" s="7">
        <f t="shared" si="10"/>
        <v>97.466112545079113</v>
      </c>
      <c r="EU23" s="7">
        <f t="shared" si="29"/>
        <v>8.5955891497065124</v>
      </c>
      <c r="EV23" s="7">
        <f t="shared" si="30"/>
        <v>19.896746590834098</v>
      </c>
      <c r="EW23" s="7"/>
      <c r="EX23" s="7"/>
    </row>
    <row r="24" spans="1:154" s="1" customFormat="1">
      <c r="A24" s="62"/>
      <c r="B24" s="18"/>
      <c r="C24" s="35" t="s">
        <v>53</v>
      </c>
      <c r="D24" s="19"/>
      <c r="E24" s="26" t="s">
        <v>3</v>
      </c>
      <c r="F24" s="26" t="s">
        <v>4</v>
      </c>
      <c r="G24" s="26"/>
      <c r="H24" s="72"/>
      <c r="I24" s="28" t="s">
        <v>51</v>
      </c>
      <c r="J24" s="28"/>
      <c r="K24" s="28"/>
      <c r="L24" s="28">
        <f>L20^(-1)*((L17/L18)^L18+(L17/L18)^(-L17))</f>
        <v>1.0000000000000002</v>
      </c>
      <c r="M24" s="28">
        <f>M20^(-1)*((M17/M18)^M18+(M17/M18)^(-M17))</f>
        <v>1.0000000000000002</v>
      </c>
      <c r="N24" s="16"/>
      <c r="O24" s="61"/>
      <c r="AE24" s="61"/>
      <c r="AG24" s="6">
        <f t="shared" si="11"/>
        <v>2.074407338881671E-2</v>
      </c>
      <c r="AH24" s="7">
        <f t="shared" si="31"/>
        <v>1.3641882550700306</v>
      </c>
      <c r="AI24" s="7"/>
      <c r="AJ24" s="6">
        <f t="shared" si="12"/>
        <v>0.59935287265646398</v>
      </c>
      <c r="AK24" s="7">
        <f t="shared" si="32"/>
        <v>1.0862517469351491</v>
      </c>
      <c r="AL24" s="7"/>
      <c r="AM24" s="7"/>
      <c r="AN24" s="7"/>
      <c r="AO24" s="7"/>
      <c r="AP24" s="7"/>
      <c r="AQ24" s="7"/>
      <c r="AR24" s="7"/>
      <c r="AS24" s="7"/>
      <c r="AT24" s="7"/>
      <c r="AU24" s="7"/>
      <c r="AV24" s="7"/>
      <c r="AW24" s="7"/>
      <c r="AX24" s="7"/>
      <c r="AY24" s="6">
        <f t="shared" si="13"/>
        <v>6.1990792899855915E-2</v>
      </c>
      <c r="AZ24" s="7">
        <f t="shared" si="33"/>
        <v>1.4430666469289097</v>
      </c>
      <c r="BA24" s="7"/>
      <c r="BB24" s="6">
        <f t="shared" si="14"/>
        <v>0.98415750061260432</v>
      </c>
      <c r="BC24" s="7">
        <f t="shared" si="34"/>
        <v>1.0947137217849636</v>
      </c>
      <c r="BD24" s="7"/>
      <c r="BE24" s="7"/>
      <c r="BF24" s="7"/>
      <c r="BG24" s="7"/>
      <c r="BH24" s="7"/>
      <c r="BI24" s="7"/>
      <c r="BJ24" s="7"/>
      <c r="BK24" s="7"/>
      <c r="BL24" s="7"/>
      <c r="BM24" s="7"/>
      <c r="BN24" s="7"/>
      <c r="BO24" s="7"/>
      <c r="BQ24" s="7">
        <f t="shared" si="15"/>
        <v>1.9355823631194136</v>
      </c>
      <c r="BR24" s="7">
        <f t="shared" si="35"/>
        <v>101.93989942230641</v>
      </c>
      <c r="BS24" s="7"/>
      <c r="BT24" s="7">
        <f t="shared" si="16"/>
        <v>100.51317735173953</v>
      </c>
      <c r="BU24" s="7">
        <f t="shared" si="36"/>
        <v>82.13779555668556</v>
      </c>
      <c r="BV24" s="7"/>
      <c r="BW24" s="7"/>
      <c r="BX24" s="7"/>
      <c r="BY24" s="7"/>
      <c r="BZ24" s="7"/>
      <c r="CA24" s="7"/>
      <c r="CB24" s="7"/>
      <c r="CC24" s="7"/>
      <c r="CD24" s="7"/>
      <c r="CE24" s="7"/>
      <c r="CF24" s="7"/>
      <c r="CG24" s="7"/>
      <c r="DD24" s="7">
        <f t="shared" si="17"/>
        <v>9.9814644369902119</v>
      </c>
      <c r="DE24" s="7">
        <f t="shared" si="37"/>
        <v>76.318464328043447</v>
      </c>
      <c r="DG24" s="7">
        <f t="shared" si="0"/>
        <v>23.573207064092713</v>
      </c>
      <c r="DH24" s="7">
        <f t="shared" si="38"/>
        <v>54.199999999999982</v>
      </c>
      <c r="DJ24" s="7">
        <f t="shared" si="39"/>
        <v>2.4230071574927443</v>
      </c>
      <c r="DK24" s="7">
        <f t="shared" si="1"/>
        <v>1.0000000000000004</v>
      </c>
      <c r="DL24" s="7">
        <f t="shared" si="2"/>
        <v>1.0000000000000002</v>
      </c>
      <c r="DM24" s="7">
        <f t="shared" si="18"/>
        <v>0.28243717659220052</v>
      </c>
      <c r="DN24" s="7">
        <f t="shared" si="19"/>
        <v>60.150403405445786</v>
      </c>
      <c r="DO24" s="7">
        <f t="shared" si="3"/>
        <v>74.849596594554214</v>
      </c>
      <c r="DP24" s="7">
        <f t="shared" si="20"/>
        <v>96.269357282723931</v>
      </c>
      <c r="DQ24" s="7">
        <f t="shared" si="4"/>
        <v>3.7306427172760692</v>
      </c>
      <c r="DR24" s="7"/>
      <c r="DS24" s="7">
        <f t="shared" si="21"/>
        <v>136.90864349635049</v>
      </c>
      <c r="DT24" s="7">
        <f t="shared" si="22"/>
        <v>72.846521324995194</v>
      </c>
      <c r="DV24" s="6">
        <f t="shared" si="40"/>
        <v>140.01580732117179</v>
      </c>
      <c r="DW24" s="7">
        <f t="shared" si="41"/>
        <v>137.67751056076258</v>
      </c>
      <c r="DX24" s="7"/>
      <c r="DY24" s="7"/>
      <c r="DZ24" s="7"/>
      <c r="EA24" s="7"/>
      <c r="EB24" s="7"/>
      <c r="EC24" s="7"/>
      <c r="ED24" s="7"/>
      <c r="EF24" s="6">
        <f t="shared" si="42"/>
        <v>2.4230071574927443</v>
      </c>
      <c r="EG24" s="6">
        <f t="shared" si="42"/>
        <v>2.4230071574927443</v>
      </c>
      <c r="EH24" s="7">
        <f t="shared" si="5"/>
        <v>1.0000000000000004</v>
      </c>
      <c r="EI24" s="7">
        <f t="shared" si="6"/>
        <v>1.0000000000000002</v>
      </c>
      <c r="EJ24" s="7">
        <f t="shared" si="23"/>
        <v>0.28243717659220052</v>
      </c>
      <c r="EK24" s="7">
        <f t="shared" si="24"/>
        <v>60.150403405445786</v>
      </c>
      <c r="EL24" s="7">
        <f t="shared" si="7"/>
        <v>74.849596594554214</v>
      </c>
      <c r="EM24" s="7">
        <f t="shared" si="25"/>
        <v>96.269357282723931</v>
      </c>
      <c r="EN24" s="7">
        <f t="shared" si="8"/>
        <v>3.7306427172760692</v>
      </c>
      <c r="EO24" s="7"/>
      <c r="EP24" s="7">
        <f t="shared" si="26"/>
        <v>136.90864349635049</v>
      </c>
      <c r="EQ24" s="7">
        <f t="shared" si="27"/>
        <v>72.846521324995194</v>
      </c>
      <c r="ER24" s="7">
        <f t="shared" si="28"/>
        <v>404.57714443927489</v>
      </c>
      <c r="ES24" s="7">
        <f t="shared" si="9"/>
        <v>125.22986462963628</v>
      </c>
      <c r="ET24" s="7">
        <f t="shared" si="10"/>
        <v>101.14428610981872</v>
      </c>
      <c r="EU24" s="7">
        <f t="shared" si="29"/>
        <v>11.678778866714211</v>
      </c>
      <c r="EV24" s="7">
        <f t="shared" si="30"/>
        <v>28.297764784823528</v>
      </c>
      <c r="EW24" s="7"/>
      <c r="EX24" s="7"/>
    </row>
    <row r="25" spans="1:154" s="1" customFormat="1">
      <c r="A25" s="62"/>
      <c r="B25" s="18"/>
      <c r="C25" s="36" t="s">
        <v>0</v>
      </c>
      <c r="D25" s="18"/>
      <c r="E25" s="31">
        <f>$L$24*$L$17*(I4*(1+$E$6/100))^($L$17-1)*($I$5*(1+$E$7/100))^$L$18</f>
        <v>0.86940894120328582</v>
      </c>
      <c r="F25" s="31">
        <f>$M$24*$M$17*(I4*(1+$F$6/100))^($M$17-1)*($I$5*(1+$F$7/100))^$M$18</f>
        <v>0.17047234141240919</v>
      </c>
      <c r="G25" s="32"/>
      <c r="H25" s="72"/>
      <c r="I25" s="16"/>
      <c r="J25" s="16"/>
      <c r="K25" s="16"/>
      <c r="L25" s="16"/>
      <c r="M25" s="16"/>
      <c r="N25" s="16"/>
      <c r="O25" s="61"/>
      <c r="AE25" s="61"/>
      <c r="AG25" s="6">
        <f t="shared" si="11"/>
        <v>1.762910865971697E-2</v>
      </c>
      <c r="AH25" s="7">
        <f t="shared" si="31"/>
        <v>1.4039264891281535</v>
      </c>
      <c r="AI25" s="7"/>
      <c r="AJ25" s="6">
        <f t="shared" si="12"/>
        <v>0.59395782793562213</v>
      </c>
      <c r="AK25" s="7">
        <f t="shared" si="32"/>
        <v>1.1433610127517024</v>
      </c>
      <c r="AL25" s="7"/>
      <c r="AM25" s="7"/>
      <c r="AN25" s="7"/>
      <c r="AO25" s="7"/>
      <c r="AP25" s="7"/>
      <c r="AQ25" s="7"/>
      <c r="AR25" s="7"/>
      <c r="AS25" s="7"/>
      <c r="AT25" s="7"/>
      <c r="AU25" s="7"/>
      <c r="AV25" s="7"/>
      <c r="AW25" s="7"/>
      <c r="AX25" s="7"/>
      <c r="AY25" s="6">
        <f t="shared" si="13"/>
        <v>5.4158893024451871E-2</v>
      </c>
      <c r="AZ25" s="7">
        <f t="shared" si="33"/>
        <v>1.4778749814958527</v>
      </c>
      <c r="BA25" s="7"/>
      <c r="BB25" s="6">
        <f t="shared" si="14"/>
        <v>0.97544417674844519</v>
      </c>
      <c r="BC25" s="7">
        <f t="shared" si="34"/>
        <v>1.1512941141734034</v>
      </c>
      <c r="BD25" s="7"/>
      <c r="BE25" s="7"/>
      <c r="BF25" s="7"/>
      <c r="BG25" s="7"/>
      <c r="BH25" s="7"/>
      <c r="BI25" s="7"/>
      <c r="BJ25" s="7"/>
      <c r="BK25" s="7"/>
      <c r="BL25" s="7"/>
      <c r="BM25" s="7"/>
      <c r="BN25" s="7"/>
      <c r="BO25" s="7"/>
      <c r="BQ25" s="7">
        <f t="shared" si="15"/>
        <v>1.6418887389271568</v>
      </c>
      <c r="BR25" s="7">
        <f t="shared" si="35"/>
        <v>104.94365570841227</v>
      </c>
      <c r="BS25" s="7"/>
      <c r="BT25" s="7">
        <f t="shared" si="16"/>
        <v>99.624071542748339</v>
      </c>
      <c r="BU25" s="7">
        <f t="shared" si="36"/>
        <v>86.379183334392707</v>
      </c>
      <c r="BV25" s="7"/>
      <c r="BW25" s="7"/>
      <c r="BX25" s="7"/>
      <c r="BY25" s="7"/>
      <c r="BZ25" s="7"/>
      <c r="CA25" s="7"/>
      <c r="CB25" s="7"/>
      <c r="CC25" s="7"/>
      <c r="CD25" s="7"/>
      <c r="CE25" s="7"/>
      <c r="CF25" s="7"/>
      <c r="CG25" s="7"/>
      <c r="DD25" s="7">
        <f t="shared" si="17"/>
        <v>8.952066210264233</v>
      </c>
      <c r="DE25" s="7">
        <f t="shared" si="37"/>
        <v>77.798560307540725</v>
      </c>
      <c r="DG25" s="7">
        <f t="shared" si="0"/>
        <v>22.325821696975282</v>
      </c>
      <c r="DH25" s="7">
        <f t="shared" si="38"/>
        <v>56.999999999999979</v>
      </c>
      <c r="DJ25" s="7">
        <f t="shared" si="39"/>
        <v>2.5312519125138171</v>
      </c>
      <c r="DK25" s="7">
        <f t="shared" si="1"/>
        <v>1.0000000000000004</v>
      </c>
      <c r="DL25" s="7">
        <f t="shared" si="2"/>
        <v>1.0000000000000002</v>
      </c>
      <c r="DM25" s="7">
        <f t="shared" si="18"/>
        <v>0.26534237749947387</v>
      </c>
      <c r="DN25" s="7">
        <f t="shared" si="19"/>
        <v>64.305179922650979</v>
      </c>
      <c r="DO25" s="7">
        <f t="shared" si="3"/>
        <v>70.694820077349021</v>
      </c>
      <c r="DP25" s="7">
        <f t="shared" si="20"/>
        <v>96.689706181843306</v>
      </c>
      <c r="DQ25" s="7">
        <f t="shared" si="4"/>
        <v>3.3102938181566941</v>
      </c>
      <c r="DR25" s="7"/>
      <c r="DS25" s="7">
        <f t="shared" si="21"/>
        <v>138.80027365852402</v>
      </c>
      <c r="DT25" s="7">
        <f t="shared" si="22"/>
        <v>68.16158177424083</v>
      </c>
      <c r="DV25" s="6">
        <f t="shared" si="40"/>
        <v>138.19153858829964</v>
      </c>
      <c r="DW25" s="7">
        <f t="shared" si="41"/>
        <v>143.20225427842132</v>
      </c>
      <c r="DX25" s="7"/>
      <c r="DY25" s="7"/>
      <c r="DZ25" s="7"/>
      <c r="EA25" s="7"/>
      <c r="EB25" s="7"/>
      <c r="EC25" s="7"/>
      <c r="ED25" s="7"/>
      <c r="EF25" s="6">
        <f t="shared" si="42"/>
        <v>2.5312519125138171</v>
      </c>
      <c r="EG25" s="6">
        <f t="shared" si="42"/>
        <v>2.5312519125138171</v>
      </c>
      <c r="EH25" s="7">
        <f t="shared" si="5"/>
        <v>1.0000000000000004</v>
      </c>
      <c r="EI25" s="7">
        <f t="shared" si="6"/>
        <v>1.0000000000000002</v>
      </c>
      <c r="EJ25" s="7">
        <f t="shared" si="23"/>
        <v>0.26534237749947387</v>
      </c>
      <c r="EK25" s="7">
        <f t="shared" si="24"/>
        <v>64.305179922650979</v>
      </c>
      <c r="EL25" s="7">
        <f t="shared" si="7"/>
        <v>70.694820077349021</v>
      </c>
      <c r="EM25" s="7">
        <f t="shared" si="25"/>
        <v>96.689706181843306</v>
      </c>
      <c r="EN25" s="7">
        <f t="shared" si="8"/>
        <v>3.3102938181566941</v>
      </c>
      <c r="EO25" s="7"/>
      <c r="EP25" s="7">
        <f t="shared" si="26"/>
        <v>138.80027365852402</v>
      </c>
      <c r="EQ25" s="7">
        <f t="shared" si="27"/>
        <v>68.16158177424083</v>
      </c>
      <c r="ER25" s="7">
        <f t="shared" si="28"/>
        <v>419.5000399298209</v>
      </c>
      <c r="ES25" s="7">
        <f t="shared" si="9"/>
        <v>124.29621421398066</v>
      </c>
      <c r="ET25" s="7">
        <f t="shared" si="10"/>
        <v>104.87500998245523</v>
      </c>
      <c r="EU25" s="7">
        <f t="shared" si="29"/>
        <v>14.504059444543358</v>
      </c>
      <c r="EV25" s="7">
        <f t="shared" si="30"/>
        <v>36.713428208214395</v>
      </c>
      <c r="EW25" s="7"/>
      <c r="EX25" s="7"/>
    </row>
    <row r="26" spans="1:154" s="1" customFormat="1">
      <c r="A26" s="61"/>
      <c r="B26" s="13"/>
      <c r="C26" s="36" t="s">
        <v>1</v>
      </c>
      <c r="D26" s="18"/>
      <c r="E26" s="31">
        <f>$L$24*($I$4*(1+$E$6/100))^$L$17*$L$18*($I$5*(1+$E$7/100))^($L$18-1)</f>
        <v>0.13198622024887713</v>
      </c>
      <c r="F26" s="31">
        <f>$M$24*($I$4*(1+$F$6/100))^$M$17*$M$18*($I$5*(1+$F$7/100))^($M$18-1)</f>
        <v>0.83102434971515315</v>
      </c>
      <c r="G26" s="32"/>
      <c r="H26" s="70"/>
      <c r="I26" s="16"/>
      <c r="J26" s="16"/>
      <c r="K26" s="16"/>
      <c r="L26" s="16"/>
      <c r="M26" s="16"/>
      <c r="N26" s="16"/>
      <c r="O26" s="61"/>
      <c r="AE26" s="61"/>
      <c r="AG26" s="6">
        <f t="shared" si="11"/>
        <v>1.5050092083263418E-2</v>
      </c>
      <c r="AH26" s="7">
        <f t="shared" si="31"/>
        <v>1.4436647231862765</v>
      </c>
      <c r="AI26" s="7"/>
      <c r="AJ26" s="6">
        <f t="shared" si="12"/>
        <v>0.5888708751441587</v>
      </c>
      <c r="AK26" s="7">
        <f t="shared" si="32"/>
        <v>1.2004702785682557</v>
      </c>
      <c r="AL26" s="7"/>
      <c r="AM26" s="7"/>
      <c r="AN26" s="7"/>
      <c r="AO26" s="7"/>
      <c r="AP26" s="7"/>
      <c r="AQ26" s="7"/>
      <c r="AR26" s="7"/>
      <c r="AS26" s="7"/>
      <c r="AT26" s="7"/>
      <c r="AU26" s="7"/>
      <c r="AV26" s="7"/>
      <c r="AW26" s="7"/>
      <c r="AX26" s="7"/>
      <c r="AY26" s="6">
        <f t="shared" si="13"/>
        <v>4.7465489825602433E-2</v>
      </c>
      <c r="AZ26" s="7">
        <f t="shared" si="33"/>
        <v>1.5126833160627957</v>
      </c>
      <c r="BA26" s="7"/>
      <c r="BB26" s="6">
        <f t="shared" si="14"/>
        <v>0.96722065438551963</v>
      </c>
      <c r="BC26" s="7">
        <f t="shared" si="34"/>
        <v>1.2078745065618433</v>
      </c>
      <c r="BD26" s="7"/>
      <c r="BE26" s="7"/>
      <c r="BF26" s="7"/>
      <c r="BG26" s="7"/>
      <c r="BH26" s="7"/>
      <c r="BI26" s="7"/>
      <c r="BJ26" s="7"/>
      <c r="BK26" s="7"/>
      <c r="BL26" s="7"/>
      <c r="BM26" s="7"/>
      <c r="BN26" s="7"/>
      <c r="BO26" s="7"/>
      <c r="BQ26" s="7">
        <f t="shared" si="15"/>
        <v>1.3992418857459463</v>
      </c>
      <c r="BR26" s="7">
        <f t="shared" si="35"/>
        <v>107.94741199451812</v>
      </c>
      <c r="BS26" s="7"/>
      <c r="BT26" s="7">
        <f t="shared" si="16"/>
        <v>98.784902377501822</v>
      </c>
      <c r="BU26" s="7">
        <f t="shared" si="36"/>
        <v>90.620571112099853</v>
      </c>
      <c r="BV26" s="7"/>
      <c r="BW26" s="7"/>
      <c r="BX26" s="7"/>
      <c r="BY26" s="7"/>
      <c r="BZ26" s="7"/>
      <c r="CA26" s="7"/>
      <c r="CB26" s="7"/>
      <c r="CC26" s="7"/>
      <c r="CD26" s="7"/>
      <c r="CE26" s="7"/>
      <c r="CF26" s="7"/>
      <c r="CG26" s="7"/>
      <c r="DD26" s="7">
        <f t="shared" si="17"/>
        <v>8.0453177992604683</v>
      </c>
      <c r="DE26" s="7">
        <f t="shared" si="37"/>
        <v>79.278656287038004</v>
      </c>
      <c r="DG26" s="7">
        <f t="shared" si="0"/>
        <v>20.979005784150303</v>
      </c>
      <c r="DH26" s="7">
        <f t="shared" si="38"/>
        <v>59.799999999999976</v>
      </c>
      <c r="DJ26" s="7">
        <f t="shared" si="39"/>
        <v>2.6394966675348899</v>
      </c>
      <c r="DK26" s="7">
        <f t="shared" si="1"/>
        <v>1.0000000000000004</v>
      </c>
      <c r="DL26" s="7">
        <f t="shared" si="2"/>
        <v>1.0000000000000002</v>
      </c>
      <c r="DM26" s="7">
        <f t="shared" si="18"/>
        <v>0.2499349406239473</v>
      </c>
      <c r="DN26" s="7">
        <f t="shared" si="19"/>
        <v>68.536822239307597</v>
      </c>
      <c r="DO26" s="7">
        <f t="shared" si="3"/>
        <v>66.463177760692403</v>
      </c>
      <c r="DP26" s="7">
        <f t="shared" si="20"/>
        <v>97.068564049300448</v>
      </c>
      <c r="DQ26" s="7">
        <f t="shared" si="4"/>
        <v>2.9314359506995515</v>
      </c>
      <c r="DR26" s="7"/>
      <c r="DS26" s="7">
        <f t="shared" si="21"/>
        <v>140.60010118557514</v>
      </c>
      <c r="DT26" s="7">
        <f t="shared" si="22"/>
        <v>63.509138634207396</v>
      </c>
      <c r="DV26" s="6">
        <f t="shared" si="40"/>
        <v>136.45877441752569</v>
      </c>
      <c r="DW26" s="7">
        <f t="shared" si="41"/>
        <v>148.72699799608006</v>
      </c>
      <c r="DX26" s="7"/>
      <c r="DY26" s="7"/>
      <c r="DZ26" s="7"/>
      <c r="EA26" s="7"/>
      <c r="EB26" s="7"/>
      <c r="EC26" s="7"/>
      <c r="ED26" s="7"/>
      <c r="EF26" s="6">
        <f t="shared" si="42"/>
        <v>2.6394966675348899</v>
      </c>
      <c r="EG26" s="6">
        <f t="shared" si="42"/>
        <v>2.6394966675348899</v>
      </c>
      <c r="EH26" s="7">
        <f t="shared" si="5"/>
        <v>1.0000000000000004</v>
      </c>
      <c r="EI26" s="7">
        <f t="shared" si="6"/>
        <v>1.0000000000000002</v>
      </c>
      <c r="EJ26" s="7">
        <f t="shared" si="23"/>
        <v>0.2499349406239473</v>
      </c>
      <c r="EK26" s="7">
        <f t="shared" si="24"/>
        <v>68.536822239307597</v>
      </c>
      <c r="EL26" s="7">
        <f t="shared" si="7"/>
        <v>66.463177760692403</v>
      </c>
      <c r="EM26" s="7">
        <f t="shared" si="25"/>
        <v>97.068564049300448</v>
      </c>
      <c r="EN26" s="7">
        <f t="shared" si="8"/>
        <v>2.9314359506995515</v>
      </c>
      <c r="EO26" s="7"/>
      <c r="EP26" s="7">
        <f t="shared" si="26"/>
        <v>140.60010118557514</v>
      </c>
      <c r="EQ26" s="7">
        <f t="shared" si="27"/>
        <v>63.509138634207396</v>
      </c>
      <c r="ER26" s="7">
        <f t="shared" si="28"/>
        <v>434.62263716860127</v>
      </c>
      <c r="ES26" s="7">
        <f t="shared" si="9"/>
        <v>123.49588536547839</v>
      </c>
      <c r="ET26" s="7">
        <f t="shared" si="10"/>
        <v>108.65565929215032</v>
      </c>
      <c r="EU26" s="7">
        <f t="shared" si="29"/>
        <v>17.104215820096755</v>
      </c>
      <c r="EV26" s="7">
        <f t="shared" si="30"/>
        <v>45.146520657942922</v>
      </c>
      <c r="EW26" s="7"/>
      <c r="EX26" s="7"/>
    </row>
    <row r="27" spans="1:154" s="1" customFormat="1">
      <c r="A27" s="61"/>
      <c r="B27" s="13"/>
      <c r="C27" s="18"/>
      <c r="D27" s="18"/>
      <c r="E27" s="17"/>
      <c r="F27" s="17"/>
      <c r="G27" s="17"/>
      <c r="H27" s="69"/>
      <c r="I27" s="16"/>
      <c r="J27" s="16"/>
      <c r="K27" s="16"/>
      <c r="L27" s="16"/>
      <c r="M27" s="16"/>
      <c r="N27" s="16"/>
      <c r="O27" s="61"/>
      <c r="AE27" s="61"/>
      <c r="AG27" s="6">
        <f t="shared" si="11"/>
        <v>1.2903671922600654E-2</v>
      </c>
      <c r="AH27" s="7">
        <f t="shared" si="31"/>
        <v>1.4834029572443994</v>
      </c>
      <c r="AI27" s="7"/>
      <c r="AJ27" s="6">
        <f t="shared" si="12"/>
        <v>0.58406096754703174</v>
      </c>
      <c r="AK27" s="7">
        <f t="shared" si="32"/>
        <v>1.257579544384809</v>
      </c>
      <c r="AL27" s="7"/>
      <c r="AM27" s="7"/>
      <c r="AN27" s="7"/>
      <c r="AO27" s="7"/>
      <c r="AP27" s="7"/>
      <c r="AQ27" s="7"/>
      <c r="AR27" s="7"/>
      <c r="AS27" s="7"/>
      <c r="AT27" s="7"/>
      <c r="AU27" s="7"/>
      <c r="AV27" s="7"/>
      <c r="AW27" s="7"/>
      <c r="AX27" s="7"/>
      <c r="AY27" s="6">
        <f t="shared" si="13"/>
        <v>4.1724353299051858E-2</v>
      </c>
      <c r="AZ27" s="7">
        <f t="shared" si="33"/>
        <v>1.5474916506297387</v>
      </c>
      <c r="BA27" s="7"/>
      <c r="BB27" s="6">
        <f t="shared" si="14"/>
        <v>0.95943831301396676</v>
      </c>
      <c r="BC27" s="7">
        <f t="shared" si="34"/>
        <v>1.2644548989502831</v>
      </c>
      <c r="BD27" s="7"/>
      <c r="BE27" s="7"/>
      <c r="BF27" s="7"/>
      <c r="BG27" s="7"/>
      <c r="BH27" s="7"/>
      <c r="BI27" s="7"/>
      <c r="BJ27" s="7"/>
      <c r="BK27" s="7"/>
      <c r="BL27" s="7"/>
      <c r="BM27" s="7"/>
      <c r="BN27" s="7"/>
      <c r="BO27" s="7"/>
      <c r="BQ27" s="7">
        <f t="shared" si="15"/>
        <v>1.1977002574806834</v>
      </c>
      <c r="BR27" s="7">
        <f t="shared" si="35"/>
        <v>110.95116828062397</v>
      </c>
      <c r="BS27" s="7"/>
      <c r="BT27" s="7">
        <f t="shared" si="16"/>
        <v>97.990716891957788</v>
      </c>
      <c r="BU27" s="7">
        <f t="shared" si="36"/>
        <v>94.861958889806999</v>
      </c>
      <c r="BV27" s="7"/>
      <c r="BW27" s="7"/>
      <c r="BX27" s="7"/>
      <c r="BY27" s="7"/>
      <c r="BZ27" s="7"/>
      <c r="CA27" s="7"/>
      <c r="CB27" s="7"/>
      <c r="CC27" s="7"/>
      <c r="CD27" s="7"/>
      <c r="CE27" s="7"/>
      <c r="CF27" s="7"/>
      <c r="CG27" s="7"/>
      <c r="DD27" s="7">
        <f t="shared" si="17"/>
        <v>7.2447108751974012</v>
      </c>
      <c r="DE27" s="7">
        <f t="shared" si="37"/>
        <v>80.758752266535282</v>
      </c>
      <c r="DG27" s="7">
        <f t="shared" si="0"/>
        <v>19.517025380520366</v>
      </c>
      <c r="DH27" s="7">
        <f t="shared" si="38"/>
        <v>62.599999999999973</v>
      </c>
      <c r="DJ27" s="7">
        <f t="shared" si="39"/>
        <v>2.7477414225559627</v>
      </c>
      <c r="DK27" s="7">
        <f t="shared" si="1"/>
        <v>1.0000000000000004</v>
      </c>
      <c r="DL27" s="7">
        <f t="shared" si="2"/>
        <v>1.0000000000000002</v>
      </c>
      <c r="DM27" s="7">
        <f t="shared" si="18"/>
        <v>0.23598892795972645</v>
      </c>
      <c r="DN27" s="7">
        <f t="shared" si="19"/>
        <v>72.843512104915973</v>
      </c>
      <c r="DO27" s="7">
        <f t="shared" si="3"/>
        <v>62.156487895084027</v>
      </c>
      <c r="DP27" s="7">
        <f t="shared" si="20"/>
        <v>97.411486539276027</v>
      </c>
      <c r="DQ27" s="7">
        <f t="shared" si="4"/>
        <v>2.5885134607239735</v>
      </c>
      <c r="DR27" s="7"/>
      <c r="DS27" s="7">
        <f t="shared" si="21"/>
        <v>142.31723617561599</v>
      </c>
      <c r="DT27" s="7">
        <f t="shared" si="22"/>
        <v>58.884539818513133</v>
      </c>
      <c r="DV27" s="6">
        <f t="shared" si="40"/>
        <v>134.80977325358504</v>
      </c>
      <c r="DW27" s="7">
        <f t="shared" si="41"/>
        <v>154.2517417137388</v>
      </c>
      <c r="DX27" s="7"/>
      <c r="DY27" s="7"/>
      <c r="DZ27" s="7"/>
      <c r="EA27" s="7"/>
      <c r="EB27" s="7"/>
      <c r="EC27" s="7"/>
      <c r="ED27" s="7"/>
      <c r="EF27" s="6">
        <f t="shared" si="42"/>
        <v>2.7477414225559627</v>
      </c>
      <c r="EG27" s="6">
        <f t="shared" si="42"/>
        <v>2.7477414225559627</v>
      </c>
      <c r="EH27" s="7">
        <f t="shared" si="5"/>
        <v>1.0000000000000004</v>
      </c>
      <c r="EI27" s="7">
        <f t="shared" si="6"/>
        <v>1.0000000000000002</v>
      </c>
      <c r="EJ27" s="7">
        <f t="shared" si="23"/>
        <v>0.23598892795972645</v>
      </c>
      <c r="EK27" s="7">
        <f t="shared" si="24"/>
        <v>72.843512104915973</v>
      </c>
      <c r="EL27" s="7">
        <f t="shared" si="7"/>
        <v>62.156487895084027</v>
      </c>
      <c r="EM27" s="7">
        <f t="shared" si="25"/>
        <v>97.411486539276027</v>
      </c>
      <c r="EN27" s="7">
        <f t="shared" si="8"/>
        <v>2.5885134607239735</v>
      </c>
      <c r="EO27" s="7"/>
      <c r="EP27" s="7">
        <f t="shared" si="26"/>
        <v>142.31723617561599</v>
      </c>
      <c r="EQ27" s="7">
        <f t="shared" si="27"/>
        <v>58.884539818513133</v>
      </c>
      <c r="ER27" s="7">
        <f t="shared" si="28"/>
        <v>449.93550480193312</v>
      </c>
      <c r="ES27" s="7">
        <f t="shared" si="9"/>
        <v>122.81054753964099</v>
      </c>
      <c r="ET27" s="7">
        <f t="shared" si="10"/>
        <v>112.48387620048328</v>
      </c>
      <c r="EU27" s="7">
        <f t="shared" si="29"/>
        <v>19.506688635974996</v>
      </c>
      <c r="EV27" s="7">
        <f t="shared" si="30"/>
        <v>53.599336381970147</v>
      </c>
      <c r="EW27" s="7"/>
      <c r="EX27" s="7"/>
    </row>
    <row r="28" spans="1:154" s="1" customFormat="1" ht="15.75" customHeight="1">
      <c r="A28" s="61"/>
      <c r="B28" s="61"/>
      <c r="C28" s="69"/>
      <c r="D28" s="69"/>
      <c r="E28" s="73"/>
      <c r="F28" s="91" t="s">
        <v>91</v>
      </c>
      <c r="G28" s="91"/>
      <c r="H28" s="91"/>
      <c r="I28" s="91"/>
      <c r="J28" s="91"/>
      <c r="K28" s="91"/>
      <c r="L28" s="91"/>
      <c r="M28" s="91"/>
      <c r="N28" s="91"/>
      <c r="O28" s="61"/>
      <c r="P28" s="61"/>
      <c r="Q28" s="61"/>
      <c r="R28" s="66" t="s">
        <v>49</v>
      </c>
      <c r="S28" s="61"/>
      <c r="T28" s="61"/>
      <c r="U28" s="61"/>
      <c r="V28" s="61"/>
      <c r="W28" s="66" t="s">
        <v>54</v>
      </c>
      <c r="X28" s="61"/>
      <c r="Y28" s="61"/>
      <c r="Z28" s="61"/>
      <c r="AA28" s="61"/>
      <c r="AB28" s="66" t="s">
        <v>55</v>
      </c>
      <c r="AC28" s="61"/>
      <c r="AD28" s="61"/>
      <c r="AE28" s="61"/>
      <c r="AG28" s="6">
        <f t="shared" si="11"/>
        <v>1.1108468395193612E-2</v>
      </c>
      <c r="AH28" s="7">
        <f t="shared" si="31"/>
        <v>1.5231411913025223</v>
      </c>
      <c r="AI28" s="7"/>
      <c r="AJ28" s="6">
        <f t="shared" si="12"/>
        <v>0.5795014230202481</v>
      </c>
      <c r="AK28" s="7">
        <f t="shared" si="32"/>
        <v>1.3146888102013623</v>
      </c>
      <c r="AL28" s="7"/>
      <c r="AM28" s="7"/>
      <c r="AN28" s="7"/>
      <c r="AO28" s="7"/>
      <c r="AP28" s="7"/>
      <c r="AQ28" s="7"/>
      <c r="AR28" s="7"/>
      <c r="AS28" s="7"/>
      <c r="AT28" s="7"/>
      <c r="AU28" s="7"/>
      <c r="AV28" s="7"/>
      <c r="AW28" s="7"/>
      <c r="AX28" s="7"/>
      <c r="AY28" s="6">
        <f t="shared" si="13"/>
        <v>3.6782964399613718E-2</v>
      </c>
      <c r="AZ28" s="7">
        <f t="shared" si="33"/>
        <v>1.5822999851966817</v>
      </c>
      <c r="BA28" s="7"/>
      <c r="BB28" s="6">
        <f t="shared" si="14"/>
        <v>0.95205526961836973</v>
      </c>
      <c r="BC28" s="7">
        <f t="shared" si="34"/>
        <v>1.3210352913387229</v>
      </c>
      <c r="BD28" s="7"/>
      <c r="BE28" s="7"/>
      <c r="BF28" s="7"/>
      <c r="BG28" s="7"/>
      <c r="BH28" s="7"/>
      <c r="BI28" s="7"/>
      <c r="BJ28" s="7"/>
      <c r="BK28" s="7"/>
      <c r="BL28" s="7"/>
      <c r="BM28" s="7"/>
      <c r="BN28" s="7"/>
      <c r="BO28" s="7"/>
      <c r="BQ28" s="7">
        <f t="shared" si="15"/>
        <v>1.029456275336784</v>
      </c>
      <c r="BR28" s="7">
        <f t="shared" si="35"/>
        <v>113.95492456672983</v>
      </c>
      <c r="BS28" s="7"/>
      <c r="BT28" s="7">
        <f t="shared" si="16"/>
        <v>97.237247935279427</v>
      </c>
      <c r="BU28" s="7">
        <f t="shared" si="36"/>
        <v>99.103346667514145</v>
      </c>
      <c r="BV28" s="7"/>
      <c r="BW28" s="7"/>
      <c r="BX28" s="7"/>
      <c r="BY28" s="7"/>
      <c r="BZ28" s="7"/>
      <c r="CA28" s="7"/>
      <c r="CB28" s="7"/>
      <c r="CC28" s="7"/>
      <c r="CD28" s="7"/>
      <c r="CE28" s="7"/>
      <c r="CF28" s="7"/>
      <c r="CG28" s="7"/>
      <c r="DD28" s="7">
        <f t="shared" si="17"/>
        <v>6.5362052864690101</v>
      </c>
      <c r="DE28" s="7">
        <f t="shared" si="37"/>
        <v>82.23884824603256</v>
      </c>
      <c r="DG28" s="7">
        <f t="shared" si="0"/>
        <v>17.920226304776222</v>
      </c>
      <c r="DH28" s="7">
        <f t="shared" si="38"/>
        <v>65.399999999999977</v>
      </c>
      <c r="DJ28" s="7">
        <f t="shared" si="39"/>
        <v>2.8559861775770354</v>
      </c>
      <c r="DK28" s="7">
        <f t="shared" si="1"/>
        <v>1.0000000000000004</v>
      </c>
      <c r="DL28" s="7">
        <f t="shared" si="2"/>
        <v>1.0000000000000002</v>
      </c>
      <c r="DM28" s="7">
        <f t="shared" si="18"/>
        <v>0.2233160078066721</v>
      </c>
      <c r="DN28" s="7">
        <f t="shared" si="19"/>
        <v>77.223544882498416</v>
      </c>
      <c r="DO28" s="7">
        <f t="shared" si="3"/>
        <v>57.776455117501584</v>
      </c>
      <c r="DP28" s="7">
        <f t="shared" si="20"/>
        <v>97.723104593753803</v>
      </c>
      <c r="DQ28" s="7">
        <f t="shared" si="4"/>
        <v>2.2768954062461972</v>
      </c>
      <c r="DR28" s="7"/>
      <c r="DS28" s="7">
        <f t="shared" si="21"/>
        <v>143.95950733533624</v>
      </c>
      <c r="DT28" s="7">
        <f t="shared" si="22"/>
        <v>54.283762875512693</v>
      </c>
      <c r="DV28" s="6">
        <f t="shared" si="40"/>
        <v>133.23769651904433</v>
      </c>
      <c r="DW28" s="7">
        <f t="shared" si="41"/>
        <v>159.77648543139753</v>
      </c>
      <c r="DX28" s="7"/>
      <c r="DY28" s="7"/>
      <c r="DZ28" s="7"/>
      <c r="EA28" s="7"/>
      <c r="EB28" s="7"/>
      <c r="EC28" s="7"/>
      <c r="ED28" s="7"/>
      <c r="EF28" s="6">
        <f t="shared" si="42"/>
        <v>2.8559861775770354</v>
      </c>
      <c r="EG28" s="6">
        <f t="shared" si="42"/>
        <v>2.8559861775770354</v>
      </c>
      <c r="EH28" s="7">
        <f t="shared" si="5"/>
        <v>1.0000000000000004</v>
      </c>
      <c r="EI28" s="7">
        <f t="shared" si="6"/>
        <v>1.0000000000000002</v>
      </c>
      <c r="EJ28" s="7">
        <f t="shared" si="23"/>
        <v>0.2233160078066721</v>
      </c>
      <c r="EK28" s="7">
        <f t="shared" si="24"/>
        <v>77.223544882498416</v>
      </c>
      <c r="EL28" s="7">
        <f t="shared" si="7"/>
        <v>57.776455117501584</v>
      </c>
      <c r="EM28" s="7">
        <f t="shared" si="25"/>
        <v>97.723104593753803</v>
      </c>
      <c r="EN28" s="7">
        <f t="shared" si="8"/>
        <v>2.2768954062461972</v>
      </c>
      <c r="EO28" s="7"/>
      <c r="EP28" s="7">
        <f t="shared" si="26"/>
        <v>143.95950733533624</v>
      </c>
      <c r="EQ28" s="7">
        <f t="shared" si="27"/>
        <v>54.283762875512693</v>
      </c>
      <c r="ER28" s="7">
        <f t="shared" si="28"/>
        <v>465.43012595603284</v>
      </c>
      <c r="ES28" s="7">
        <f t="shared" si="9"/>
        <v>122.22488932462943</v>
      </c>
      <c r="ET28" s="7">
        <f t="shared" si="10"/>
        <v>116.35753148900821</v>
      </c>
      <c r="EU28" s="7">
        <f t="shared" si="29"/>
        <v>21.734618010706811</v>
      </c>
      <c r="EV28" s="7">
        <f t="shared" si="30"/>
        <v>62.073768613495517</v>
      </c>
      <c r="EW28" s="7"/>
      <c r="EX28" s="7"/>
    </row>
    <row r="29" spans="1:154" s="1" customFormat="1">
      <c r="A29" s="61"/>
      <c r="B29" s="61"/>
      <c r="C29" s="74"/>
      <c r="D29" s="74"/>
      <c r="E29" s="73"/>
      <c r="F29" s="73"/>
      <c r="G29" s="73"/>
      <c r="H29" s="61"/>
      <c r="I29" s="61"/>
      <c r="J29" s="61"/>
      <c r="K29" s="61"/>
      <c r="L29" s="61"/>
      <c r="M29" s="61"/>
      <c r="N29" s="61"/>
      <c r="O29" s="61"/>
      <c r="P29" s="61"/>
      <c r="Q29" s="61"/>
      <c r="R29" s="61"/>
      <c r="S29" s="61"/>
      <c r="T29" s="61"/>
      <c r="U29" s="61"/>
      <c r="V29" s="61"/>
      <c r="W29" s="61"/>
      <c r="X29" s="61"/>
      <c r="Y29" s="61"/>
      <c r="Z29" s="61"/>
      <c r="AA29" s="61"/>
      <c r="AB29" s="61"/>
      <c r="AC29" s="61"/>
      <c r="AD29" s="61"/>
      <c r="AE29" s="61"/>
      <c r="AF29" s="54"/>
      <c r="AG29" s="6">
        <f t="shared" si="11"/>
        <v>9.5999894627173381E-3</v>
      </c>
      <c r="AH29" s="7">
        <f t="shared" si="31"/>
        <v>1.5628794253606453</v>
      </c>
      <c r="AI29" s="7"/>
      <c r="AJ29" s="6">
        <f t="shared" si="12"/>
        <v>0.57516915139583502</v>
      </c>
      <c r="AK29" s="7">
        <f t="shared" si="32"/>
        <v>1.3717980760179156</v>
      </c>
      <c r="AL29" s="7"/>
      <c r="AM29" s="7"/>
      <c r="AN29" s="7"/>
      <c r="AO29" s="7"/>
      <c r="AP29" s="7"/>
      <c r="AQ29" s="7"/>
      <c r="AR29" s="7"/>
      <c r="AS29" s="7"/>
      <c r="AT29" s="7"/>
      <c r="AU29" s="7"/>
      <c r="AV29" s="7"/>
      <c r="AW29" s="7"/>
      <c r="AX29" s="7"/>
      <c r="AY29" s="6">
        <f t="shared" si="13"/>
        <v>3.251584897871973E-2</v>
      </c>
      <c r="AZ29" s="7">
        <f t="shared" si="33"/>
        <v>1.6171083197636247</v>
      </c>
      <c r="BA29" s="7"/>
      <c r="BB29" s="6">
        <f t="shared" si="14"/>
        <v>0.94503520229281923</v>
      </c>
      <c r="BC29" s="7">
        <f t="shared" si="34"/>
        <v>1.3776156837271627</v>
      </c>
      <c r="BD29" s="7"/>
      <c r="BE29" s="7"/>
      <c r="BF29" s="7"/>
      <c r="BG29" s="7"/>
      <c r="BH29" s="7"/>
      <c r="BI29" s="7"/>
      <c r="BJ29" s="7"/>
      <c r="BK29" s="7"/>
      <c r="BL29" s="7"/>
      <c r="BM29" s="7"/>
      <c r="BN29" s="7"/>
      <c r="BO29" s="7"/>
      <c r="BQ29" s="7">
        <f t="shared" si="15"/>
        <v>0.88833787614957571</v>
      </c>
      <c r="BR29" s="7">
        <f t="shared" si="35"/>
        <v>116.95868085283568</v>
      </c>
      <c r="BS29" s="7"/>
      <c r="BT29" s="7">
        <f t="shared" si="16"/>
        <v>96.520794514328287</v>
      </c>
      <c r="BU29" s="7">
        <f t="shared" si="36"/>
        <v>103.34473444522129</v>
      </c>
      <c r="BV29" s="7"/>
      <c r="BW29" s="7"/>
      <c r="BX29" s="7"/>
      <c r="BY29" s="7"/>
      <c r="BZ29" s="7"/>
      <c r="CA29" s="7"/>
      <c r="CB29" s="7"/>
      <c r="CC29" s="7"/>
      <c r="CD29" s="7"/>
      <c r="CE29" s="7"/>
      <c r="CF29" s="7"/>
      <c r="CG29" s="7"/>
      <c r="DD29" s="7">
        <f t="shared" si="17"/>
        <v>5.9078244850172696</v>
      </c>
      <c r="DE29" s="7">
        <f t="shared" si="37"/>
        <v>83.718944225529839</v>
      </c>
      <c r="DG29" s="7">
        <f t="shared" si="0"/>
        <v>16.163639885696668</v>
      </c>
      <c r="DH29" s="7">
        <f t="shared" si="38"/>
        <v>68.199999999999974</v>
      </c>
      <c r="DJ29" s="7">
        <f t="shared" si="39"/>
        <v>2.9642309325981082</v>
      </c>
      <c r="DK29" s="7">
        <f t="shared" si="1"/>
        <v>1.0000000000000004</v>
      </c>
      <c r="DL29" s="7">
        <f t="shared" si="2"/>
        <v>1.0000000000000002</v>
      </c>
      <c r="DM29" s="7">
        <f t="shared" si="18"/>
        <v>0.21175806024583707</v>
      </c>
      <c r="DN29" s="7">
        <f t="shared" si="19"/>
        <v>81.675318372756536</v>
      </c>
      <c r="DO29" s="7">
        <f t="shared" si="3"/>
        <v>53.324681627243464</v>
      </c>
      <c r="DP29" s="7">
        <f t="shared" si="20"/>
        <v>98.007306268597901</v>
      </c>
      <c r="DQ29" s="7">
        <f t="shared" si="4"/>
        <v>1.9926937314020989</v>
      </c>
      <c r="DR29" s="7"/>
      <c r="DS29" s="7">
        <f t="shared" si="21"/>
        <v>145.53368783720018</v>
      </c>
      <c r="DT29" s="7">
        <f t="shared" si="22"/>
        <v>49.703313019174765</v>
      </c>
      <c r="DV29" s="6">
        <f t="shared" si="40"/>
        <v>131.7364763143155</v>
      </c>
      <c r="DW29" s="7">
        <f t="shared" si="41"/>
        <v>165.30122914905627</v>
      </c>
      <c r="DX29" s="7"/>
      <c r="DY29" s="7"/>
      <c r="DZ29" s="7"/>
      <c r="EA29" s="7"/>
      <c r="EB29" s="7"/>
      <c r="EC29" s="7"/>
      <c r="ED29" s="7"/>
      <c r="EF29" s="6">
        <f t="shared" si="42"/>
        <v>2.9642309325981082</v>
      </c>
      <c r="EG29" s="6">
        <f t="shared" si="42"/>
        <v>2.9642309325981082</v>
      </c>
      <c r="EH29" s="7">
        <f t="shared" si="5"/>
        <v>1.0000000000000004</v>
      </c>
      <c r="EI29" s="7">
        <f t="shared" si="6"/>
        <v>1.0000000000000002</v>
      </c>
      <c r="EJ29" s="7">
        <f t="shared" si="23"/>
        <v>0.21175806024583707</v>
      </c>
      <c r="EK29" s="7">
        <f t="shared" si="24"/>
        <v>81.675318372756536</v>
      </c>
      <c r="EL29" s="7">
        <f t="shared" si="7"/>
        <v>53.324681627243464</v>
      </c>
      <c r="EM29" s="7">
        <f t="shared" si="25"/>
        <v>98.007306268597901</v>
      </c>
      <c r="EN29" s="7">
        <f t="shared" si="8"/>
        <v>1.9926937314020989</v>
      </c>
      <c r="EO29" s="7"/>
      <c r="EP29" s="7">
        <f t="shared" si="26"/>
        <v>145.53368783720018</v>
      </c>
      <c r="EQ29" s="7">
        <f t="shared" si="27"/>
        <v>49.703313019174765</v>
      </c>
      <c r="ER29" s="7">
        <f t="shared" si="28"/>
        <v>481.09877224128059</v>
      </c>
      <c r="ES29" s="7">
        <f t="shared" si="9"/>
        <v>121.72603531422669</v>
      </c>
      <c r="ET29" s="7">
        <f t="shared" si="10"/>
        <v>120.27469306032015</v>
      </c>
      <c r="EU29" s="7">
        <f t="shared" si="29"/>
        <v>23.807652522973484</v>
      </c>
      <c r="EV29" s="7">
        <f t="shared" si="30"/>
        <v>70.571380041145375</v>
      </c>
      <c r="EW29" s="7"/>
      <c r="EX29" s="7"/>
    </row>
    <row r="30" spans="1:154" s="1" customFormat="1">
      <c r="A30" s="61"/>
      <c r="B30" s="61"/>
      <c r="C30" s="75"/>
      <c r="D30" s="61"/>
      <c r="E30" s="61"/>
      <c r="F30" s="61"/>
      <c r="G30" s="61"/>
      <c r="H30" s="58"/>
      <c r="I30" s="58"/>
      <c r="J30" s="58"/>
      <c r="K30" s="58"/>
      <c r="L30" s="58"/>
      <c r="M30" s="58"/>
      <c r="N30" s="58"/>
      <c r="O30" s="58"/>
      <c r="P30" s="90"/>
      <c r="Q30" s="90"/>
      <c r="R30" s="90"/>
      <c r="S30" s="90"/>
      <c r="T30" s="90"/>
      <c r="U30" s="90"/>
      <c r="V30" s="90"/>
      <c r="W30" s="90"/>
      <c r="X30" s="90"/>
      <c r="Y30" s="90"/>
      <c r="Z30" s="90"/>
      <c r="AA30" s="90"/>
      <c r="AB30" s="90"/>
      <c r="AC30" s="90"/>
      <c r="AD30" s="90"/>
      <c r="AE30" s="76"/>
      <c r="AF30" s="55"/>
      <c r="AG30" s="6">
        <f t="shared" si="11"/>
        <v>8.3268141717032489E-3</v>
      </c>
      <c r="AH30" s="7">
        <f t="shared" si="31"/>
        <v>1.6026176594187682</v>
      </c>
      <c r="AI30" s="7"/>
      <c r="AJ30" s="6">
        <f t="shared" si="12"/>
        <v>0.57104404446287182</v>
      </c>
      <c r="AK30" s="7">
        <f t="shared" si="32"/>
        <v>1.4289073418344689</v>
      </c>
      <c r="AL30" s="7"/>
      <c r="AM30" s="7"/>
      <c r="AN30" s="7"/>
      <c r="AO30" s="7"/>
      <c r="AP30" s="7"/>
      <c r="AQ30" s="7"/>
      <c r="AR30" s="7"/>
      <c r="AS30" s="7"/>
      <c r="AT30" s="7"/>
      <c r="AU30" s="7"/>
      <c r="AV30" s="7"/>
      <c r="AW30" s="7"/>
      <c r="AX30" s="7"/>
      <c r="AY30" s="6">
        <f t="shared" si="13"/>
        <v>2.8819336863139783E-2</v>
      </c>
      <c r="AZ30" s="7">
        <f t="shared" si="33"/>
        <v>1.6519166543305677</v>
      </c>
      <c r="BA30" s="7"/>
      <c r="BB30" s="6">
        <f t="shared" si="14"/>
        <v>0.93834641824723375</v>
      </c>
      <c r="BC30" s="7">
        <f t="shared" si="34"/>
        <v>1.4341960761156025</v>
      </c>
      <c r="BD30" s="7"/>
      <c r="BE30" s="7"/>
      <c r="BF30" s="7"/>
      <c r="BG30" s="7"/>
      <c r="BH30" s="7"/>
      <c r="BI30" s="7"/>
      <c r="BJ30" s="7"/>
      <c r="BK30" s="7"/>
      <c r="BL30" s="7"/>
      <c r="BM30" s="7"/>
      <c r="BN30" s="7"/>
      <c r="BO30" s="7"/>
      <c r="BQ30" s="7">
        <f t="shared" si="15"/>
        <v>0.76943547525927192</v>
      </c>
      <c r="BR30" s="7">
        <f t="shared" si="35"/>
        <v>119.96243713894154</v>
      </c>
      <c r="BS30" s="7"/>
      <c r="BT30" s="7">
        <f t="shared" si="16"/>
        <v>95.838126978503638</v>
      </c>
      <c r="BU30" s="7">
        <f t="shared" si="36"/>
        <v>107.58612222292844</v>
      </c>
      <c r="BV30" s="7"/>
      <c r="BW30" s="7"/>
      <c r="BX30" s="7"/>
      <c r="BY30" s="7"/>
      <c r="BZ30" s="7"/>
      <c r="CA30" s="7"/>
      <c r="CB30" s="7"/>
      <c r="CC30" s="7"/>
      <c r="CD30" s="7"/>
      <c r="CE30" s="7"/>
      <c r="CF30" s="7"/>
      <c r="CG30" s="7"/>
      <c r="DD30" s="7">
        <f t="shared" si="17"/>
        <v>5.3493229011658991</v>
      </c>
      <c r="DE30" s="7">
        <f t="shared" si="37"/>
        <v>85.199040205027117</v>
      </c>
      <c r="DG30" s="7">
        <f t="shared" si="0"/>
        <v>14.21491649852868</v>
      </c>
      <c r="DH30" s="7">
        <f t="shared" si="38"/>
        <v>70.999999999999972</v>
      </c>
      <c r="DJ30" s="7">
        <f t="shared" si="39"/>
        <v>3.072475687619181</v>
      </c>
      <c r="DK30" s="7">
        <f t="shared" si="1"/>
        <v>1.0000000000000004</v>
      </c>
      <c r="DL30" s="7">
        <f t="shared" si="2"/>
        <v>1.0000000000000002</v>
      </c>
      <c r="DM30" s="7">
        <f t="shared" si="18"/>
        <v>0.20118144418011702</v>
      </c>
      <c r="DN30" s="7">
        <f t="shared" si="19"/>
        <v>86.197323109232485</v>
      </c>
      <c r="DO30" s="7">
        <f t="shared" si="3"/>
        <v>48.802676890767515</v>
      </c>
      <c r="DP30" s="7">
        <f t="shared" si="20"/>
        <v>98.267377702928187</v>
      </c>
      <c r="DQ30" s="7">
        <f t="shared" si="4"/>
        <v>1.7326222970718135</v>
      </c>
      <c r="DR30" s="7"/>
      <c r="DS30" s="7">
        <f t="shared" si="21"/>
        <v>147.04567422241351</v>
      </c>
      <c r="DT30" s="7">
        <f t="shared" si="22"/>
        <v>45.140140528661405</v>
      </c>
      <c r="DV30" s="6">
        <f t="shared" si="40"/>
        <v>130.30070619595898</v>
      </c>
      <c r="DW30" s="7">
        <f t="shared" si="41"/>
        <v>170.82597286671501</v>
      </c>
      <c r="DX30" s="7"/>
      <c r="DY30" s="7"/>
      <c r="DZ30" s="7"/>
      <c r="EA30" s="7"/>
      <c r="EB30" s="7"/>
      <c r="EC30" s="7"/>
      <c r="ED30" s="7"/>
      <c r="EF30" s="6">
        <f t="shared" si="42"/>
        <v>3.072475687619181</v>
      </c>
      <c r="EG30" s="6">
        <f t="shared" si="42"/>
        <v>3.072475687619181</v>
      </c>
      <c r="EH30" s="7">
        <f t="shared" si="5"/>
        <v>1.0000000000000004</v>
      </c>
      <c r="EI30" s="7">
        <f t="shared" si="6"/>
        <v>1.0000000000000002</v>
      </c>
      <c r="EJ30" s="7">
        <f t="shared" si="23"/>
        <v>0.20118144418011702</v>
      </c>
      <c r="EK30" s="7">
        <f t="shared" si="24"/>
        <v>86.197323109232485</v>
      </c>
      <c r="EL30" s="7">
        <f t="shared" si="7"/>
        <v>48.802676890767515</v>
      </c>
      <c r="EM30" s="7">
        <f t="shared" si="25"/>
        <v>98.267377702928187</v>
      </c>
      <c r="EN30" s="7">
        <f t="shared" si="8"/>
        <v>1.7326222970718135</v>
      </c>
      <c r="EO30" s="7"/>
      <c r="EP30" s="7">
        <f t="shared" si="26"/>
        <v>147.04567422241351</v>
      </c>
      <c r="EQ30" s="7">
        <f t="shared" si="27"/>
        <v>45.140140528661405</v>
      </c>
      <c r="ER30" s="7">
        <f t="shared" si="28"/>
        <v>496.93439954659743</v>
      </c>
      <c r="ES30" s="7">
        <f t="shared" si="9"/>
        <v>121.30309156286563</v>
      </c>
      <c r="ET30" s="7">
        <f t="shared" si="10"/>
        <v>124.23359988664936</v>
      </c>
      <c r="EU30" s="7">
        <f t="shared" si="29"/>
        <v>25.742582659547878</v>
      </c>
      <c r="EV30" s="7">
        <f t="shared" si="30"/>
        <v>79.093459357987953</v>
      </c>
      <c r="EW30" s="7"/>
      <c r="EX30" s="7"/>
    </row>
    <row r="31" spans="1:154" s="1" customFormat="1">
      <c r="A31" s="61"/>
      <c r="B31" s="61"/>
      <c r="C31" s="77"/>
      <c r="D31" s="78"/>
      <c r="E31" s="61"/>
      <c r="F31" s="65"/>
      <c r="G31" s="65"/>
      <c r="H31" s="61"/>
      <c r="I31" s="61"/>
      <c r="J31" s="61"/>
      <c r="K31" s="61"/>
      <c r="L31" s="61"/>
      <c r="M31" s="71"/>
      <c r="N31" s="71"/>
      <c r="O31" s="58"/>
      <c r="P31" s="61"/>
      <c r="Q31" s="61"/>
      <c r="R31" s="61"/>
      <c r="S31" s="61"/>
      <c r="T31" s="61"/>
      <c r="U31" s="61"/>
      <c r="V31" s="61"/>
      <c r="W31" s="61"/>
      <c r="X31" s="61"/>
      <c r="Y31" s="61"/>
      <c r="Z31" s="61"/>
      <c r="AA31" s="61"/>
      <c r="AB31" s="61"/>
      <c r="AC31" s="61"/>
      <c r="AD31" s="61"/>
      <c r="AE31" s="61"/>
      <c r="AF31" s="54"/>
      <c r="AG31" s="6">
        <f t="shared" si="11"/>
        <v>7.2477058658764011E-3</v>
      </c>
      <c r="AH31" s="7">
        <f t="shared" si="31"/>
        <v>1.6423558934768911</v>
      </c>
      <c r="AI31" s="7"/>
      <c r="AJ31" s="6">
        <f t="shared" si="12"/>
        <v>0.56710848936057157</v>
      </c>
      <c r="AK31" s="7">
        <f t="shared" si="32"/>
        <v>1.4860166076510222</v>
      </c>
      <c r="AL31" s="7"/>
      <c r="AM31" s="7"/>
      <c r="AN31" s="7"/>
      <c r="AO31" s="7"/>
      <c r="AP31" s="7"/>
      <c r="AQ31" s="7"/>
      <c r="AR31" s="7"/>
      <c r="AS31" s="7"/>
      <c r="AT31" s="7"/>
      <c r="AU31" s="7"/>
      <c r="AV31" s="7"/>
      <c r="AW31" s="7"/>
      <c r="AX31" s="7"/>
      <c r="AY31" s="6">
        <f t="shared" si="13"/>
        <v>2.5607419425907586E-2</v>
      </c>
      <c r="AZ31" s="7">
        <f t="shared" si="33"/>
        <v>1.6867249888975107</v>
      </c>
      <c r="BA31" s="7"/>
      <c r="BB31" s="6">
        <f t="shared" si="14"/>
        <v>0.93196110795657194</v>
      </c>
      <c r="BC31" s="7">
        <f t="shared" si="34"/>
        <v>1.4907764685040423</v>
      </c>
      <c r="BD31" s="7"/>
      <c r="BE31" s="7"/>
      <c r="BF31" s="7"/>
      <c r="BG31" s="7"/>
      <c r="BH31" s="7"/>
      <c r="BI31" s="7"/>
      <c r="BJ31" s="7"/>
      <c r="BK31" s="7"/>
      <c r="BL31" s="7"/>
      <c r="BM31" s="7"/>
      <c r="BN31" s="7"/>
      <c r="BO31" s="7"/>
      <c r="BQ31" s="7">
        <f t="shared" si="15"/>
        <v>0.66882063253587432</v>
      </c>
      <c r="BR31" s="7">
        <f t="shared" si="35"/>
        <v>122.96619342504739</v>
      </c>
      <c r="BS31" s="7"/>
      <c r="BT31" s="7">
        <f t="shared" si="16"/>
        <v>95.186411128544037</v>
      </c>
      <c r="BU31" s="7">
        <f t="shared" si="36"/>
        <v>111.82751000063558</v>
      </c>
      <c r="BV31" s="7"/>
      <c r="BW31" s="7"/>
      <c r="BX31" s="7"/>
      <c r="BY31" s="7"/>
      <c r="BZ31" s="7"/>
      <c r="CA31" s="7"/>
      <c r="CB31" s="7"/>
      <c r="CC31" s="7"/>
      <c r="CD31" s="7"/>
      <c r="CE31" s="7"/>
      <c r="CF31" s="7"/>
      <c r="CG31" s="7"/>
      <c r="DD31" s="7">
        <f t="shared" si="17"/>
        <v>4.8519115031486635</v>
      </c>
      <c r="DE31" s="7">
        <f t="shared" si="37"/>
        <v>86.679136184524396</v>
      </c>
      <c r="DG31" s="7">
        <f t="shared" si="0"/>
        <v>12.031160170876063</v>
      </c>
      <c r="DH31" s="7">
        <f t="shared" si="38"/>
        <v>73.799999999999969</v>
      </c>
      <c r="DJ31" s="7">
        <f t="shared" si="39"/>
        <v>3.1807204426402538</v>
      </c>
      <c r="DK31" s="7">
        <f t="shared" si="1"/>
        <v>1.0000000000000004</v>
      </c>
      <c r="DL31" s="7">
        <f t="shared" si="2"/>
        <v>1.0000000000000002</v>
      </c>
      <c r="DM31" s="7">
        <f t="shared" si="18"/>
        <v>0.1914725090929289</v>
      </c>
      <c r="DN31" s="7">
        <f t="shared" si="19"/>
        <v>90.788133885389726</v>
      </c>
      <c r="DO31" s="7">
        <f t="shared" si="3"/>
        <v>44.211866114610274</v>
      </c>
      <c r="DP31" s="7">
        <f t="shared" si="20"/>
        <v>98.506113481768523</v>
      </c>
      <c r="DQ31" s="7">
        <f t="shared" si="4"/>
        <v>1.4938865182314771</v>
      </c>
      <c r="DR31" s="7"/>
      <c r="DS31" s="7">
        <f t="shared" si="21"/>
        <v>148.50062945710101</v>
      </c>
      <c r="DT31" s="7">
        <f t="shared" si="22"/>
        <v>40.591573314496671</v>
      </c>
      <c r="DV31" s="6">
        <f t="shared" si="40"/>
        <v>128.92555040384559</v>
      </c>
      <c r="DW31" s="7">
        <f t="shared" si="41"/>
        <v>176.35071658437374</v>
      </c>
      <c r="DX31" s="7"/>
      <c r="DY31" s="7"/>
      <c r="DZ31" s="7"/>
      <c r="EA31" s="7"/>
      <c r="EB31" s="7"/>
      <c r="EC31" s="7"/>
      <c r="ED31" s="7"/>
      <c r="EF31" s="6">
        <f t="shared" si="42"/>
        <v>3.1807204426402538</v>
      </c>
      <c r="EG31" s="6">
        <f t="shared" si="42"/>
        <v>3.1807204426402538</v>
      </c>
      <c r="EH31" s="7">
        <f t="shared" si="5"/>
        <v>1.0000000000000004</v>
      </c>
      <c r="EI31" s="7">
        <f t="shared" si="6"/>
        <v>1.0000000000000002</v>
      </c>
      <c r="EJ31" s="7">
        <f t="shared" si="23"/>
        <v>0.1914725090929289</v>
      </c>
      <c r="EK31" s="7">
        <f t="shared" si="24"/>
        <v>90.788133885389726</v>
      </c>
      <c r="EL31" s="7">
        <f t="shared" si="7"/>
        <v>44.211866114610274</v>
      </c>
      <c r="EM31" s="7">
        <f t="shared" si="25"/>
        <v>98.506113481768523</v>
      </c>
      <c r="EN31" s="7">
        <f t="shared" si="8"/>
        <v>1.4938865182314771</v>
      </c>
      <c r="EO31" s="7"/>
      <c r="EP31" s="7">
        <f t="shared" si="26"/>
        <v>148.50062945710101</v>
      </c>
      <c r="EQ31" s="7">
        <f t="shared" si="27"/>
        <v>40.591573314496671</v>
      </c>
      <c r="ER31" s="7">
        <f t="shared" si="28"/>
        <v>512.93056117364335</v>
      </c>
      <c r="ES31" s="7">
        <f t="shared" si="9"/>
        <v>120.94678794245191</v>
      </c>
      <c r="ET31" s="7">
        <f t="shared" si="10"/>
        <v>128.23264029341084</v>
      </c>
      <c r="EU31" s="7">
        <f t="shared" si="29"/>
        <v>27.553841514649108</v>
      </c>
      <c r="EV31" s="7">
        <f t="shared" si="30"/>
        <v>87.641066978914168</v>
      </c>
      <c r="EW31" s="7"/>
      <c r="EX31" s="7"/>
    </row>
    <row r="32" spans="1:154" s="1" customFormat="1">
      <c r="A32" s="61"/>
      <c r="B32" s="61"/>
      <c r="C32" s="61"/>
      <c r="D32" s="61"/>
      <c r="E32" s="61"/>
      <c r="F32" s="61"/>
      <c r="G32" s="61"/>
      <c r="H32" s="61"/>
      <c r="I32" s="61"/>
      <c r="J32" s="61"/>
      <c r="K32" s="61"/>
      <c r="L32" s="61"/>
      <c r="M32" s="79"/>
      <c r="N32" s="79"/>
      <c r="O32" s="58"/>
      <c r="P32" s="61"/>
      <c r="Q32" s="61"/>
      <c r="R32" s="61"/>
      <c r="S32" s="61"/>
      <c r="T32" s="61"/>
      <c r="U32" s="61"/>
      <c r="V32" s="61"/>
      <c r="W32" s="61"/>
      <c r="X32" s="61"/>
      <c r="Y32" s="61"/>
      <c r="Z32" s="61"/>
      <c r="AA32" s="61"/>
      <c r="AB32" s="61"/>
      <c r="AC32" s="61"/>
      <c r="AD32" s="61"/>
      <c r="AE32" s="61"/>
      <c r="AF32" s="54"/>
      <c r="AG32" s="6">
        <f t="shared" si="11"/>
        <v>6.3294130617565199E-3</v>
      </c>
      <c r="AH32" s="7">
        <f t="shared" si="31"/>
        <v>1.6820941275350141</v>
      </c>
      <c r="AI32" s="7"/>
      <c r="AJ32" s="6">
        <f t="shared" si="12"/>
        <v>0.56334697669880107</v>
      </c>
      <c r="AK32" s="7">
        <f t="shared" si="32"/>
        <v>1.5431258734675755</v>
      </c>
      <c r="AL32" s="7"/>
      <c r="AM32" s="7"/>
      <c r="AN32" s="7"/>
      <c r="AO32" s="7"/>
      <c r="AP32" s="7"/>
      <c r="AQ32" s="7"/>
      <c r="AR32" s="7"/>
      <c r="AS32" s="7"/>
      <c r="AT32" s="7"/>
      <c r="AU32" s="7"/>
      <c r="AV32" s="7"/>
      <c r="AW32" s="7"/>
      <c r="AX32" s="7"/>
      <c r="AY32" s="6">
        <f t="shared" si="13"/>
        <v>2.2808458709705937E-2</v>
      </c>
      <c r="AZ32" s="7">
        <f t="shared" si="33"/>
        <v>1.7215333234644536</v>
      </c>
      <c r="BA32" s="7"/>
      <c r="BB32" s="6">
        <f t="shared" si="14"/>
        <v>0.92585474273736401</v>
      </c>
      <c r="BC32" s="7">
        <f t="shared" si="34"/>
        <v>1.5473568608924821</v>
      </c>
      <c r="BD32" s="7"/>
      <c r="BE32" s="7"/>
      <c r="BF32" s="7"/>
      <c r="BG32" s="7"/>
      <c r="BH32" s="7"/>
      <c r="BI32" s="7"/>
      <c r="BJ32" s="7"/>
      <c r="BK32" s="7"/>
      <c r="BL32" s="7"/>
      <c r="BM32" s="7"/>
      <c r="BN32" s="7"/>
      <c r="BO32" s="7"/>
      <c r="BQ32" s="7">
        <f t="shared" si="15"/>
        <v>0.58333232503616905</v>
      </c>
      <c r="BR32" s="7">
        <f t="shared" si="35"/>
        <v>125.96994971115325</v>
      </c>
      <c r="BS32" s="7"/>
      <c r="BT32" s="7">
        <f t="shared" si="16"/>
        <v>94.563146909550724</v>
      </c>
      <c r="BU32" s="7">
        <f t="shared" si="36"/>
        <v>116.06889777834273</v>
      </c>
      <c r="BV32" s="7"/>
      <c r="BW32" s="7"/>
      <c r="BX32" s="7"/>
      <c r="BY32" s="7"/>
      <c r="BZ32" s="7"/>
      <c r="CA32" s="7"/>
      <c r="CB32" s="7"/>
      <c r="CC32" s="7"/>
      <c r="CD32" s="7"/>
      <c r="CE32" s="7"/>
      <c r="CF32" s="7"/>
      <c r="CG32" s="7"/>
      <c r="DD32" s="7">
        <f t="shared" si="17"/>
        <v>4.4080305898636301</v>
      </c>
      <c r="DE32" s="7">
        <f t="shared" si="37"/>
        <v>88.159232164021674</v>
      </c>
      <c r="DG32" s="7">
        <f t="shared" si="0"/>
        <v>9.5538864336565723</v>
      </c>
      <c r="DH32" s="7">
        <f t="shared" si="38"/>
        <v>76.599999999999966</v>
      </c>
      <c r="DJ32" s="7">
        <f t="shared" si="39"/>
        <v>3.2889651976613266</v>
      </c>
      <c r="DK32" s="7">
        <f t="shared" si="1"/>
        <v>1.0000000000000004</v>
      </c>
      <c r="DL32" s="7">
        <f t="shared" si="2"/>
        <v>1.0000000000000002</v>
      </c>
      <c r="DM32" s="7">
        <f t="shared" si="18"/>
        <v>0.18253404945183596</v>
      </c>
      <c r="DN32" s="7">
        <f t="shared" si="19"/>
        <v>95.446402320273549</v>
      </c>
      <c r="DO32" s="7">
        <f t="shared" si="3"/>
        <v>39.553597679726451</v>
      </c>
      <c r="DP32" s="7">
        <f t="shared" si="20"/>
        <v>98.725903819728956</v>
      </c>
      <c r="DQ32" s="7">
        <f t="shared" si="4"/>
        <v>1.2740961802710444</v>
      </c>
      <c r="DR32" s="7"/>
      <c r="DS32" s="7">
        <f t="shared" si="21"/>
        <v>149.90309832951982</v>
      </c>
      <c r="DT32" s="7">
        <f t="shared" si="22"/>
        <v>36.055261468401696</v>
      </c>
      <c r="DV32" s="6">
        <f t="shared" si="40"/>
        <v>127.60666795006088</v>
      </c>
      <c r="DW32" s="7">
        <f t="shared" si="41"/>
        <v>181.87546030203248</v>
      </c>
      <c r="DX32" s="7"/>
      <c r="DY32" s="7"/>
      <c r="DZ32" s="7"/>
      <c r="EA32" s="7"/>
      <c r="EB32" s="7"/>
      <c r="EC32" s="7"/>
      <c r="ED32" s="7"/>
      <c r="EF32" s="6">
        <f t="shared" si="42"/>
        <v>3.2889651976613266</v>
      </c>
      <c r="EG32" s="6">
        <f t="shared" si="42"/>
        <v>3.2889651976613266</v>
      </c>
      <c r="EH32" s="7">
        <f t="shared" si="5"/>
        <v>1.0000000000000004</v>
      </c>
      <c r="EI32" s="7">
        <f t="shared" si="6"/>
        <v>1.0000000000000002</v>
      </c>
      <c r="EJ32" s="7">
        <f t="shared" si="23"/>
        <v>0.18253404945183596</v>
      </c>
      <c r="EK32" s="7">
        <f t="shared" si="24"/>
        <v>95.446402320273549</v>
      </c>
      <c r="EL32" s="7">
        <f t="shared" si="7"/>
        <v>39.553597679726451</v>
      </c>
      <c r="EM32" s="7">
        <f t="shared" si="25"/>
        <v>98.725903819728956</v>
      </c>
      <c r="EN32" s="7">
        <f t="shared" si="8"/>
        <v>1.2740961802710444</v>
      </c>
      <c r="EO32" s="7"/>
      <c r="EP32" s="7">
        <f t="shared" si="26"/>
        <v>149.90309832951982</v>
      </c>
      <c r="EQ32" s="7">
        <f t="shared" si="27"/>
        <v>36.055261468401696</v>
      </c>
      <c r="ER32" s="7">
        <f t="shared" si="28"/>
        <v>529.08133489579609</v>
      </c>
      <c r="ES32" s="7">
        <f t="shared" si="9"/>
        <v>120.64919429795309</v>
      </c>
      <c r="ET32" s="7">
        <f t="shared" si="10"/>
        <v>132.27033372394902</v>
      </c>
      <c r="EU32" s="7">
        <f t="shared" si="29"/>
        <v>29.253904031566734</v>
      </c>
      <c r="EV32" s="7">
        <f t="shared" si="30"/>
        <v>96.215072255547327</v>
      </c>
      <c r="EW32" s="7"/>
      <c r="EX32" s="7"/>
    </row>
    <row r="33" spans="1:157" s="1" customFormat="1">
      <c r="A33" s="61"/>
      <c r="B33" s="61"/>
      <c r="C33" s="61"/>
      <c r="D33" s="61"/>
      <c r="E33" s="61"/>
      <c r="F33" s="61"/>
      <c r="G33" s="61"/>
      <c r="H33" s="61"/>
      <c r="I33" s="71"/>
      <c r="J33" s="71"/>
      <c r="K33" s="71"/>
      <c r="L33" s="71"/>
      <c r="M33" s="79"/>
      <c r="N33" s="79"/>
      <c r="O33" s="58"/>
      <c r="P33" s="61"/>
      <c r="Q33" s="61"/>
      <c r="R33" s="61"/>
      <c r="S33" s="61"/>
      <c r="T33" s="61"/>
      <c r="U33" s="61"/>
      <c r="V33" s="61"/>
      <c r="W33" s="61"/>
      <c r="X33" s="61"/>
      <c r="Y33" s="61"/>
      <c r="Z33" s="61"/>
      <c r="AA33" s="61"/>
      <c r="AB33" s="61"/>
      <c r="AC33" s="61"/>
      <c r="AD33" s="61"/>
      <c r="AE33" s="61"/>
      <c r="AF33" s="54"/>
      <c r="AG33" s="6">
        <f t="shared" si="11"/>
        <v>5.5449827678193658E-3</v>
      </c>
      <c r="AH33" s="7">
        <f t="shared" si="31"/>
        <v>1.721832361593137</v>
      </c>
      <c r="AI33" s="7"/>
      <c r="AJ33" s="6">
        <f t="shared" si="12"/>
        <v>0.55974578219870397</v>
      </c>
      <c r="AK33" s="7">
        <f t="shared" si="32"/>
        <v>1.6002351392841287</v>
      </c>
      <c r="AL33" s="7"/>
      <c r="AM33" s="7"/>
      <c r="AN33" s="7"/>
      <c r="AO33" s="7"/>
      <c r="AP33" s="7"/>
      <c r="AQ33" s="7"/>
      <c r="AR33" s="7"/>
      <c r="AS33" s="7"/>
      <c r="AT33" s="7"/>
      <c r="AU33" s="7"/>
      <c r="AV33" s="7"/>
      <c r="AW33" s="7"/>
      <c r="AX33" s="7"/>
      <c r="AY33" s="6">
        <f t="shared" si="13"/>
        <v>2.0362560285366406E-2</v>
      </c>
      <c r="AZ33" s="7">
        <f t="shared" si="33"/>
        <v>1.7563416580313966</v>
      </c>
      <c r="BA33" s="7"/>
      <c r="BB33" s="6">
        <f t="shared" si="14"/>
        <v>0.92000558401825583</v>
      </c>
      <c r="BC33" s="7">
        <f t="shared" si="34"/>
        <v>1.603937253280922</v>
      </c>
      <c r="BD33" s="7"/>
      <c r="BE33" s="7"/>
      <c r="BF33" s="7"/>
      <c r="BG33" s="7"/>
      <c r="BH33" s="7"/>
      <c r="BI33" s="7"/>
      <c r="BJ33" s="7"/>
      <c r="BK33" s="7"/>
      <c r="BL33" s="7"/>
      <c r="BM33" s="7"/>
      <c r="BN33" s="7"/>
      <c r="BO33" s="7"/>
      <c r="BQ33" s="7">
        <f t="shared" si="15"/>
        <v>0.51041345157801543</v>
      </c>
      <c r="BR33" s="7">
        <f t="shared" si="35"/>
        <v>128.97370599725909</v>
      </c>
      <c r="BS33" s="7"/>
      <c r="BT33" s="7">
        <f t="shared" si="16"/>
        <v>93.966118463535366</v>
      </c>
      <c r="BU33" s="7">
        <f t="shared" si="36"/>
        <v>120.31028555604988</v>
      </c>
      <c r="BV33" s="7"/>
      <c r="BW33" s="7"/>
      <c r="BX33" s="7"/>
      <c r="BY33" s="7"/>
      <c r="BZ33" s="7"/>
      <c r="CA33" s="7"/>
      <c r="CB33" s="7"/>
      <c r="CC33" s="7"/>
      <c r="CD33" s="7"/>
      <c r="CE33" s="7"/>
      <c r="CF33" s="7"/>
      <c r="CG33" s="7"/>
      <c r="DD33" s="7">
        <f t="shared" si="17"/>
        <v>4.0111610675935889</v>
      </c>
      <c r="DE33" s="7">
        <f t="shared" si="37"/>
        <v>89.639328143518952</v>
      </c>
      <c r="DG33" s="7">
        <f t="shared" si="0"/>
        <v>6.7006023083271771</v>
      </c>
      <c r="DH33" s="7">
        <f t="shared" si="38"/>
        <v>79.399999999999963</v>
      </c>
      <c r="DJ33" s="7">
        <f t="shared" si="39"/>
        <v>3.3972099526823993</v>
      </c>
      <c r="DK33" s="7">
        <f t="shared" si="1"/>
        <v>1.0000000000000004</v>
      </c>
      <c r="DL33" s="7">
        <f t="shared" si="2"/>
        <v>1.0000000000000002</v>
      </c>
      <c r="DM33" s="7">
        <f t="shared" si="18"/>
        <v>0.17428248022655368</v>
      </c>
      <c r="DN33" s="7">
        <f t="shared" si="19"/>
        <v>100.17085030517281</v>
      </c>
      <c r="DO33" s="7">
        <f t="shared" si="3"/>
        <v>34.829149694827194</v>
      </c>
      <c r="DP33" s="7">
        <f t="shared" si="20"/>
        <v>98.928804013000629</v>
      </c>
      <c r="DQ33" s="7">
        <f t="shared" si="4"/>
        <v>1.0711959869993706</v>
      </c>
      <c r="DR33" s="7"/>
      <c r="DS33" s="7">
        <f t="shared" si="21"/>
        <v>151.25710129492555</v>
      </c>
      <c r="DT33" s="7">
        <f t="shared" si="22"/>
        <v>31.529131361279109</v>
      </c>
      <c r="DV33" s="6">
        <f t="shared" si="40"/>
        <v>126.34014876601123</v>
      </c>
      <c r="DW33" s="7">
        <f t="shared" si="41"/>
        <v>187.40020401969122</v>
      </c>
      <c r="DX33" s="7"/>
      <c r="DY33" s="7"/>
      <c r="DZ33" s="7"/>
      <c r="EA33" s="7"/>
      <c r="EB33" s="7"/>
      <c r="EC33" s="7"/>
      <c r="ED33" s="7"/>
      <c r="EF33" s="6">
        <f t="shared" si="42"/>
        <v>3.3972099526823993</v>
      </c>
      <c r="EG33" s="6">
        <f t="shared" si="42"/>
        <v>3.3972099526823993</v>
      </c>
      <c r="EH33" s="7">
        <f t="shared" si="5"/>
        <v>1.0000000000000004</v>
      </c>
      <c r="EI33" s="7">
        <f t="shared" si="6"/>
        <v>1.0000000000000002</v>
      </c>
      <c r="EJ33" s="7">
        <f t="shared" si="23"/>
        <v>0.17428248022655368</v>
      </c>
      <c r="EK33" s="7">
        <f t="shared" si="24"/>
        <v>100.17085030517281</v>
      </c>
      <c r="EL33" s="7">
        <f t="shared" si="7"/>
        <v>34.829149694827194</v>
      </c>
      <c r="EM33" s="7">
        <f t="shared" si="25"/>
        <v>98.928804013000629</v>
      </c>
      <c r="EN33" s="7">
        <f t="shared" si="8"/>
        <v>1.0711959869993706</v>
      </c>
      <c r="EO33" s="7"/>
      <c r="EP33" s="7">
        <f t="shared" si="26"/>
        <v>151.25710129492555</v>
      </c>
      <c r="EQ33" s="7">
        <f t="shared" si="27"/>
        <v>31.529131361279109</v>
      </c>
      <c r="ER33" s="7">
        <f t="shared" si="28"/>
        <v>545.38126129429008</v>
      </c>
      <c r="ES33" s="7">
        <f t="shared" si="9"/>
        <v>120.40349335717308</v>
      </c>
      <c r="ET33" s="7">
        <f t="shared" si="10"/>
        <v>136.34531532357252</v>
      </c>
      <c r="EU33" s="7">
        <f t="shared" si="29"/>
        <v>30.853607937752471</v>
      </c>
      <c r="EV33" s="7">
        <f t="shared" si="30"/>
        <v>104.81618396229341</v>
      </c>
      <c r="EW33" s="7"/>
      <c r="EX33" s="7"/>
    </row>
    <row r="34" spans="1:157" s="1" customFormat="1">
      <c r="A34" s="61"/>
      <c r="B34" s="61"/>
      <c r="C34" s="80"/>
      <c r="D34" s="61"/>
      <c r="E34" s="61"/>
      <c r="F34" s="61"/>
      <c r="G34" s="61"/>
      <c r="H34" s="58"/>
      <c r="I34" s="72"/>
      <c r="J34" s="72"/>
      <c r="K34" s="72"/>
      <c r="L34" s="72"/>
      <c r="M34" s="70"/>
      <c r="N34" s="70"/>
      <c r="O34" s="58"/>
      <c r="P34" s="61"/>
      <c r="Q34" s="61"/>
      <c r="R34" s="61"/>
      <c r="S34" s="61"/>
      <c r="T34" s="61"/>
      <c r="U34" s="61"/>
      <c r="V34" s="61"/>
      <c r="W34" s="61"/>
      <c r="X34" s="61"/>
      <c r="Y34" s="61"/>
      <c r="Z34" s="61"/>
      <c r="AA34" s="61"/>
      <c r="AB34" s="61"/>
      <c r="AC34" s="61"/>
      <c r="AD34" s="61"/>
      <c r="AE34" s="61"/>
      <c r="AF34" s="54"/>
      <c r="AG34" s="6">
        <f t="shared" si="11"/>
        <v>4.8724584567527481E-3</v>
      </c>
      <c r="AH34" s="7">
        <f t="shared" si="31"/>
        <v>1.76157059565126</v>
      </c>
      <c r="AI34" s="7"/>
      <c r="AJ34" s="6">
        <f t="shared" si="12"/>
        <v>0.55629270597010405</v>
      </c>
      <c r="AK34" s="7">
        <f t="shared" si="32"/>
        <v>1.657344405100682</v>
      </c>
      <c r="AL34" s="7"/>
      <c r="AM34" s="7"/>
      <c r="AN34" s="7"/>
      <c r="AO34" s="7"/>
      <c r="AP34" s="7"/>
      <c r="AQ34" s="7"/>
      <c r="AR34" s="7"/>
      <c r="AS34" s="7"/>
      <c r="AT34" s="7"/>
      <c r="AU34" s="7"/>
      <c r="AV34" s="7"/>
      <c r="AW34" s="7"/>
      <c r="AX34" s="7"/>
      <c r="AY34" s="6">
        <f t="shared" si="13"/>
        <v>1.8219466163236917E-2</v>
      </c>
      <c r="AZ34" s="7">
        <f t="shared" si="33"/>
        <v>1.7911499925983396</v>
      </c>
      <c r="BA34" s="7"/>
      <c r="BB34" s="6">
        <f t="shared" si="14"/>
        <v>0.91439428044750459</v>
      </c>
      <c r="BC34" s="7">
        <f t="shared" si="34"/>
        <v>1.6605176456693618</v>
      </c>
      <c r="BD34" s="7"/>
      <c r="BE34" s="7"/>
      <c r="BF34" s="7"/>
      <c r="BG34" s="7"/>
      <c r="BH34" s="7"/>
      <c r="BI34" s="7"/>
      <c r="BJ34" s="7"/>
      <c r="BK34" s="7"/>
      <c r="BL34" s="7"/>
      <c r="BM34" s="7"/>
      <c r="BN34" s="7"/>
      <c r="BO34" s="7"/>
      <c r="BQ34" s="7">
        <f t="shared" si="15"/>
        <v>0.44798493716625454</v>
      </c>
      <c r="BR34" s="7">
        <f t="shared" si="35"/>
        <v>131.97746228336493</v>
      </c>
      <c r="BS34" s="7"/>
      <c r="BT34" s="7">
        <f t="shared" si="16"/>
        <v>93.393353116676906</v>
      </c>
      <c r="BU34" s="7">
        <f t="shared" si="36"/>
        <v>124.55167333375702</v>
      </c>
      <c r="BV34" s="7"/>
      <c r="BW34" s="7"/>
      <c r="BX34" s="7"/>
      <c r="BY34" s="7"/>
      <c r="BZ34" s="7"/>
      <c r="CA34" s="7"/>
      <c r="CB34" s="7"/>
      <c r="CC34" s="7"/>
      <c r="CD34" s="7"/>
      <c r="CE34" s="7"/>
      <c r="CF34" s="7"/>
      <c r="CG34" s="7"/>
      <c r="DD34" s="7">
        <f t="shared" si="17"/>
        <v>3.6556671933557543</v>
      </c>
      <c r="DE34" s="7">
        <f t="shared" si="37"/>
        <v>91.119424123016231</v>
      </c>
      <c r="DG34" s="7">
        <f t="shared" si="0"/>
        <v>3.3499023867098856</v>
      </c>
      <c r="DH34" s="7">
        <f t="shared" si="38"/>
        <v>82.19999999999996</v>
      </c>
      <c r="DJ34" s="7">
        <f t="shared" si="39"/>
        <v>3.5054547077034721</v>
      </c>
      <c r="DK34" s="7">
        <f t="shared" si="1"/>
        <v>1.0000000000000004</v>
      </c>
      <c r="DL34" s="7">
        <f t="shared" si="2"/>
        <v>1.0000000000000002</v>
      </c>
      <c r="DM34" s="7">
        <f t="shared" si="18"/>
        <v>0.16664556924754961</v>
      </c>
      <c r="DN34" s="7">
        <f t="shared" si="19"/>
        <v>104.96026420191194</v>
      </c>
      <c r="DO34" s="7">
        <f t="shared" si="3"/>
        <v>30.03973579808806</v>
      </c>
      <c r="DP34" s="7">
        <f t="shared" si="20"/>
        <v>99.116590199037972</v>
      </c>
      <c r="DQ34" s="7">
        <f t="shared" si="4"/>
        <v>0.8834098009620277</v>
      </c>
      <c r="DR34" s="7"/>
      <c r="DS34" s="7">
        <f t="shared" si="21"/>
        <v>152.56621137220037</v>
      </c>
      <c r="DT34" s="7">
        <f t="shared" si="22"/>
        <v>27.011347408103958</v>
      </c>
      <c r="DV34" s="6">
        <f t="shared" si="40"/>
        <v>125.1224596988765</v>
      </c>
      <c r="DW34" s="7">
        <f t="shared" si="41"/>
        <v>192.92494773734995</v>
      </c>
      <c r="DX34" s="7"/>
      <c r="DY34" s="7"/>
      <c r="DZ34" s="7"/>
      <c r="EA34" s="7"/>
      <c r="EB34" s="7"/>
      <c r="EC34" s="7"/>
      <c r="ED34" s="7"/>
      <c r="EF34" s="6">
        <f t="shared" si="42"/>
        <v>3.5054547077034721</v>
      </c>
      <c r="EG34" s="6">
        <f t="shared" si="42"/>
        <v>3.5054547077034721</v>
      </c>
      <c r="EH34" s="7">
        <f t="shared" si="5"/>
        <v>1.0000000000000004</v>
      </c>
      <c r="EI34" s="7">
        <f t="shared" si="6"/>
        <v>1.0000000000000002</v>
      </c>
      <c r="EJ34" s="7">
        <f t="shared" si="23"/>
        <v>0.16664556924754961</v>
      </c>
      <c r="EK34" s="7">
        <f t="shared" si="24"/>
        <v>104.96026420191194</v>
      </c>
      <c r="EL34" s="7">
        <f t="shared" si="7"/>
        <v>30.03973579808806</v>
      </c>
      <c r="EM34" s="7">
        <f t="shared" si="25"/>
        <v>99.116590199037972</v>
      </c>
      <c r="EN34" s="7">
        <f t="shared" si="8"/>
        <v>0.8834098009620277</v>
      </c>
      <c r="EO34" s="7"/>
      <c r="EP34" s="7">
        <f t="shared" si="26"/>
        <v>152.56621137220037</v>
      </c>
      <c r="EQ34" s="7">
        <f t="shared" si="27"/>
        <v>27.011347408103958</v>
      </c>
      <c r="ER34" s="7">
        <f t="shared" si="28"/>
        <v>561.82529129926672</v>
      </c>
      <c r="ES34" s="7">
        <f t="shared" si="9"/>
        <v>120.20379768378221</v>
      </c>
      <c r="ET34" s="7">
        <f t="shared" si="10"/>
        <v>140.45632282481668</v>
      </c>
      <c r="EU34" s="7">
        <f t="shared" si="29"/>
        <v>32.362413688418158</v>
      </c>
      <c r="EV34" s="7">
        <f t="shared" si="30"/>
        <v>113.44497541671272</v>
      </c>
      <c r="EW34" s="7"/>
      <c r="EX34" s="7"/>
    </row>
    <row r="35" spans="1:157">
      <c r="A35" s="61"/>
      <c r="B35" s="61"/>
      <c r="C35" s="80"/>
      <c r="D35" s="58"/>
      <c r="E35" s="58"/>
      <c r="F35" s="58"/>
      <c r="G35" s="58"/>
      <c r="H35" s="58"/>
      <c r="I35" s="72"/>
      <c r="J35" s="72"/>
      <c r="K35" s="72"/>
      <c r="L35" s="72"/>
      <c r="M35" s="61"/>
      <c r="N35" s="61"/>
      <c r="O35" s="58"/>
      <c r="P35" s="58"/>
      <c r="Q35" s="58"/>
      <c r="R35" s="58"/>
      <c r="S35" s="58"/>
      <c r="T35" s="58"/>
      <c r="U35" s="58"/>
      <c r="V35" s="58"/>
      <c r="W35" s="58"/>
      <c r="X35" s="58"/>
      <c r="Y35" s="58"/>
      <c r="Z35" s="58"/>
      <c r="AA35" s="58"/>
      <c r="AB35" s="58"/>
      <c r="AC35" s="58"/>
      <c r="AD35" s="58"/>
      <c r="AE35" s="58"/>
      <c r="AF35" s="53"/>
      <c r="AG35" s="6">
        <f t="shared" si="11"/>
        <v>4.2938687697740424E-3</v>
      </c>
      <c r="AH35" s="3">
        <f t="shared" si="31"/>
        <v>1.8013088297093829</v>
      </c>
      <c r="AI35" s="3"/>
      <c r="AJ35" s="6">
        <f t="shared" si="12"/>
        <v>0.55297685739494251</v>
      </c>
      <c r="AK35" s="3">
        <f t="shared" si="32"/>
        <v>1.7144536709172353</v>
      </c>
      <c r="AL35" s="3"/>
      <c r="AM35" s="3"/>
      <c r="AN35" s="3"/>
      <c r="AO35" s="3"/>
      <c r="AP35" s="3"/>
      <c r="AQ35" s="3"/>
      <c r="AR35" s="3"/>
      <c r="AS35" s="3"/>
      <c r="AT35" s="3"/>
      <c r="AU35" s="3"/>
      <c r="AV35" s="3"/>
      <c r="AW35" s="3"/>
      <c r="AX35" s="3"/>
      <c r="AY35" s="6">
        <f t="shared" si="13"/>
        <v>1.6336857225420061E-2</v>
      </c>
      <c r="AZ35" s="3">
        <f t="shared" si="33"/>
        <v>1.8259583271652826</v>
      </c>
      <c r="BA35" s="3"/>
      <c r="BB35" s="6">
        <f t="shared" si="14"/>
        <v>0.90900353470362794</v>
      </c>
      <c r="BC35" s="3">
        <f t="shared" si="34"/>
        <v>1.7170980380578016</v>
      </c>
      <c r="BD35" s="3"/>
      <c r="BE35" s="3"/>
      <c r="BF35" s="3"/>
      <c r="BG35" s="3"/>
      <c r="BH35" s="3"/>
      <c r="BI35" s="3"/>
      <c r="BJ35" s="3"/>
      <c r="BK35" s="3"/>
      <c r="BL35" s="3"/>
      <c r="BM35" s="3"/>
      <c r="BN35" s="3"/>
      <c r="BO35" s="3"/>
      <c r="BQ35" s="3">
        <f t="shared" si="15"/>
        <v>0.39434818078386397</v>
      </c>
      <c r="BR35" s="3">
        <f t="shared" si="35"/>
        <v>134.98121856947077</v>
      </c>
      <c r="BS35" s="3"/>
      <c r="BT35" s="3">
        <f t="shared" si="16"/>
        <v>92.843087457828702</v>
      </c>
      <c r="BU35" s="3">
        <f t="shared" si="36"/>
        <v>128.79306111146417</v>
      </c>
      <c r="BV35" s="3"/>
      <c r="BW35" s="3"/>
      <c r="BX35" s="3"/>
      <c r="BY35" s="3"/>
      <c r="BZ35" s="3"/>
      <c r="CA35" s="3"/>
      <c r="CB35" s="3"/>
      <c r="CC35" s="3"/>
      <c r="CD35" s="3"/>
      <c r="CE35" s="3"/>
      <c r="CF35" s="3"/>
      <c r="CG35" s="3"/>
      <c r="DD35" s="3">
        <f t="shared" si="17"/>
        <v>3.3366651352879861</v>
      </c>
      <c r="DE35" s="3">
        <f t="shared" si="37"/>
        <v>92.599520102513509</v>
      </c>
      <c r="DG35" s="3">
        <f t="shared" si="0"/>
        <v>-0.68693190618517974</v>
      </c>
      <c r="DH35" s="3">
        <f t="shared" si="38"/>
        <v>84.999999999999957</v>
      </c>
      <c r="DJ35" s="3">
        <f t="shared" si="39"/>
        <v>3.6136994627245449</v>
      </c>
      <c r="DK35" s="3">
        <f t="shared" si="1"/>
        <v>1.0000000000000004</v>
      </c>
      <c r="DL35" s="3">
        <f t="shared" si="2"/>
        <v>1.0000000000000002</v>
      </c>
      <c r="DM35" s="3">
        <f t="shared" si="18"/>
        <v>0.15956060332691369</v>
      </c>
      <c r="DN35" s="3">
        <f t="shared" si="19"/>
        <v>109.81348968583994</v>
      </c>
      <c r="DO35" s="3">
        <f t="shared" si="3"/>
        <v>25.18651031416006</v>
      </c>
      <c r="DP35" s="3">
        <f t="shared" si="20"/>
        <v>99.290804450336452</v>
      </c>
      <c r="DQ35" s="3">
        <f t="shared" si="4"/>
        <v>0.70919554966354781</v>
      </c>
      <c r="DR35" s="3"/>
      <c r="DS35" s="3">
        <f t="shared" si="21"/>
        <v>153.8336175987528</v>
      </c>
      <c r="DT35" s="3">
        <f t="shared" si="22"/>
        <v>22.500280033821355</v>
      </c>
      <c r="DV35" s="6">
        <f t="shared" si="40"/>
        <v>123.95039860391229</v>
      </c>
      <c r="DW35" s="3">
        <f t="shared" si="41"/>
        <v>198.44969145500869</v>
      </c>
      <c r="DX35" s="3"/>
      <c r="DY35" s="3"/>
      <c r="DZ35" s="3"/>
      <c r="EA35" s="3"/>
      <c r="EB35" s="3"/>
      <c r="EC35" s="3"/>
      <c r="ED35" s="3"/>
      <c r="EF35" s="6">
        <f t="shared" si="42"/>
        <v>3.6136994627245449</v>
      </c>
      <c r="EG35" s="6">
        <f t="shared" si="42"/>
        <v>3.6136994627245449</v>
      </c>
      <c r="EH35" s="3">
        <f t="shared" si="5"/>
        <v>1.0000000000000004</v>
      </c>
      <c r="EI35" s="3">
        <f t="shared" si="6"/>
        <v>1.0000000000000002</v>
      </c>
      <c r="EJ35" s="3">
        <f t="shared" si="23"/>
        <v>0.15956060332691369</v>
      </c>
      <c r="EK35" s="3">
        <f t="shared" si="24"/>
        <v>109.81348968583994</v>
      </c>
      <c r="EL35" s="3">
        <f t="shared" si="7"/>
        <v>25.18651031416006</v>
      </c>
      <c r="EM35" s="3">
        <f t="shared" si="25"/>
        <v>99.290804450336452</v>
      </c>
      <c r="EN35" s="3">
        <f t="shared" si="8"/>
        <v>0.70919554966354781</v>
      </c>
      <c r="EO35" s="3"/>
      <c r="EP35" s="3">
        <f t="shared" si="26"/>
        <v>153.8336175987528</v>
      </c>
      <c r="EQ35" s="3">
        <f t="shared" si="27"/>
        <v>22.500280033821355</v>
      </c>
      <c r="ER35" s="3">
        <f t="shared" si="28"/>
        <v>578.40874129940744</v>
      </c>
      <c r="ES35" s="3">
        <f t="shared" si="9"/>
        <v>120.04500109909183</v>
      </c>
      <c r="ET35" s="3">
        <f t="shared" si="10"/>
        <v>144.60218532485186</v>
      </c>
      <c r="EU35" s="3">
        <f t="shared" si="29"/>
        <v>33.788616499660961</v>
      </c>
      <c r="EV35" s="3">
        <f t="shared" si="30"/>
        <v>122.1019052910305</v>
      </c>
      <c r="EW35" s="3"/>
      <c r="EX35" s="3"/>
    </row>
    <row r="36" spans="1:157">
      <c r="A36" s="61"/>
      <c r="B36" s="61"/>
      <c r="C36" s="80"/>
      <c r="D36" s="81"/>
      <c r="E36" s="69"/>
      <c r="F36" s="69"/>
      <c r="G36" s="69"/>
      <c r="H36" s="69"/>
      <c r="I36" s="61"/>
      <c r="J36" s="61"/>
      <c r="K36" s="61"/>
      <c r="L36" s="61"/>
      <c r="M36" s="61"/>
      <c r="N36" s="61"/>
      <c r="O36" s="58"/>
      <c r="P36" s="58"/>
      <c r="Q36" s="58"/>
      <c r="R36" s="58"/>
      <c r="S36" s="58"/>
      <c r="T36" s="58"/>
      <c r="U36" s="58"/>
      <c r="V36" s="58"/>
      <c r="W36" s="58"/>
      <c r="X36" s="58"/>
      <c r="Y36" s="58"/>
      <c r="Z36" s="58"/>
      <c r="AA36" s="58"/>
      <c r="AB36" s="58"/>
      <c r="AC36" s="58"/>
      <c r="AD36" s="58"/>
      <c r="AE36" s="58"/>
      <c r="AF36" s="53"/>
      <c r="AG36" s="6">
        <f t="shared" si="11"/>
        <v>3.7944374160456843E-3</v>
      </c>
      <c r="AH36" s="3">
        <f t="shared" si="31"/>
        <v>1.8410470637675058</v>
      </c>
      <c r="AI36" s="3"/>
      <c r="AJ36" s="6">
        <f t="shared" si="12"/>
        <v>0.54978847640861928</v>
      </c>
      <c r="AK36" s="3">
        <f t="shared" si="32"/>
        <v>1.7715629367337886</v>
      </c>
      <c r="AL36" s="3"/>
      <c r="AM36" s="3"/>
      <c r="AN36" s="3"/>
      <c r="AO36" s="3"/>
      <c r="AP36" s="3"/>
      <c r="AQ36" s="3"/>
      <c r="AR36" s="3"/>
      <c r="AS36" s="3"/>
      <c r="AT36" s="3"/>
      <c r="AU36" s="3"/>
      <c r="AV36" s="3"/>
      <c r="AW36" s="3"/>
      <c r="AX36" s="3"/>
      <c r="AY36" s="6">
        <f t="shared" si="13"/>
        <v>1.4678979693540862E-2</v>
      </c>
      <c r="AZ36" s="3">
        <f t="shared" si="33"/>
        <v>1.8607666617322256</v>
      </c>
      <c r="BA36" s="3"/>
      <c r="BB36" s="6">
        <f t="shared" si="14"/>
        <v>0.90381782608482519</v>
      </c>
      <c r="BC36" s="3">
        <f t="shared" si="34"/>
        <v>1.7736784304462414</v>
      </c>
      <c r="BD36" s="3"/>
      <c r="BE36" s="3"/>
      <c r="BF36" s="3"/>
      <c r="BG36" s="3"/>
      <c r="BH36" s="3"/>
      <c r="BI36" s="3"/>
      <c r="BJ36" s="3"/>
      <c r="BK36" s="3"/>
      <c r="BL36" s="3"/>
      <c r="BM36" s="3"/>
      <c r="BN36" s="3"/>
      <c r="BO36" s="3"/>
      <c r="BQ36" s="3">
        <f t="shared" si="15"/>
        <v>0.34810901266008154</v>
      </c>
      <c r="BR36" s="3">
        <f t="shared" si="35"/>
        <v>137.98497485557661</v>
      </c>
      <c r="BS36" s="3"/>
      <c r="BT36" s="3">
        <f t="shared" si="16"/>
        <v>92.313739092499844</v>
      </c>
      <c r="BU36" s="3">
        <f t="shared" si="36"/>
        <v>133.03444888917133</v>
      </c>
      <c r="BV36" s="3"/>
      <c r="BW36" s="3"/>
      <c r="BX36" s="3"/>
      <c r="BY36" s="3"/>
      <c r="BZ36" s="3"/>
      <c r="CA36" s="3"/>
      <c r="CB36" s="3"/>
      <c r="CC36" s="3"/>
      <c r="CD36" s="3"/>
      <c r="CE36" s="3"/>
      <c r="CF36" s="3"/>
      <c r="CG36" s="3"/>
      <c r="DD36" s="3">
        <f t="shared" si="17"/>
        <v>3.0499127849766619</v>
      </c>
      <c r="DE36" s="3">
        <f t="shared" si="37"/>
        <v>94.079616082010787</v>
      </c>
      <c r="DG36" s="3">
        <f t="shared" si="0"/>
        <v>-5.725558344681815</v>
      </c>
      <c r="DH36" s="3">
        <f t="shared" si="38"/>
        <v>87.799999999999955</v>
      </c>
      <c r="DJ36" s="3">
        <f t="shared" si="39"/>
        <v>3.7219442177456177</v>
      </c>
      <c r="DK36" s="3">
        <f t="shared" si="1"/>
        <v>1.0000000000000004</v>
      </c>
      <c r="DL36" s="3">
        <f t="shared" si="2"/>
        <v>1.0000000000000002</v>
      </c>
      <c r="DM36" s="3">
        <f t="shared" si="18"/>
        <v>0.15297289503647474</v>
      </c>
      <c r="DN36" s="3">
        <f t="shared" si="19"/>
        <v>114.72942714456889</v>
      </c>
      <c r="DO36" s="3">
        <f t="shared" si="3"/>
        <v>20.270572855431112</v>
      </c>
      <c r="DP36" s="3">
        <f t="shared" si="20"/>
        <v>99.452791491692395</v>
      </c>
      <c r="DQ36" s="3">
        <f t="shared" si="4"/>
        <v>0.54720850830760526</v>
      </c>
      <c r="DR36" s="3"/>
      <c r="DS36" s="3">
        <f t="shared" si="21"/>
        <v>155.06217773953648</v>
      </c>
      <c r="DT36" s="3">
        <f t="shared" si="22"/>
        <v>17.99447868862017</v>
      </c>
      <c r="DV36" s="6">
        <f t="shared" si="40"/>
        <v>122.82105513070927</v>
      </c>
      <c r="DW36" s="3">
        <f t="shared" si="41"/>
        <v>203.97443517266743</v>
      </c>
      <c r="DX36" s="3"/>
      <c r="DY36" s="3"/>
      <c r="DZ36" s="3"/>
      <c r="EA36" s="3"/>
      <c r="EB36" s="3"/>
      <c r="EC36" s="3"/>
      <c r="ED36" s="3"/>
      <c r="EF36" s="6">
        <f t="shared" si="42"/>
        <v>3.7219442177456177</v>
      </c>
      <c r="EG36" s="6">
        <f t="shared" si="42"/>
        <v>3.7219442177456177</v>
      </c>
      <c r="EH36" s="3">
        <f t="shared" si="5"/>
        <v>1.0000000000000004</v>
      </c>
      <c r="EI36" s="3">
        <f t="shared" si="6"/>
        <v>1.0000000000000002</v>
      </c>
      <c r="EJ36" s="3">
        <f t="shared" si="23"/>
        <v>0.15297289503647474</v>
      </c>
      <c r="EK36" s="3">
        <f t="shared" si="24"/>
        <v>114.72942714456889</v>
      </c>
      <c r="EL36" s="3">
        <f t="shared" si="7"/>
        <v>20.270572855431112</v>
      </c>
      <c r="EM36" s="3">
        <f t="shared" si="25"/>
        <v>99.452791491692395</v>
      </c>
      <c r="EN36" s="3">
        <f t="shared" si="8"/>
        <v>0.54720850830760526</v>
      </c>
      <c r="EO36" s="3"/>
      <c r="EP36" s="3">
        <f t="shared" si="26"/>
        <v>155.06217773953648</v>
      </c>
      <c r="EQ36" s="3">
        <f t="shared" si="27"/>
        <v>17.99447868862017</v>
      </c>
      <c r="ER36" s="3">
        <f t="shared" si="28"/>
        <v>595.12725451733115</v>
      </c>
      <c r="ES36" s="3">
        <f t="shared" si="9"/>
        <v>119.92265729289997</v>
      </c>
      <c r="ET36" s="3">
        <f t="shared" si="10"/>
        <v>148.78181362933279</v>
      </c>
      <c r="EU36" s="3">
        <f t="shared" si="29"/>
        <v>35.13952044663651</v>
      </c>
      <c r="EV36" s="3">
        <f t="shared" si="30"/>
        <v>130.78733494071261</v>
      </c>
      <c r="EW36" s="3"/>
      <c r="EX36" s="3"/>
    </row>
    <row r="37" spans="1:157">
      <c r="A37" s="61"/>
      <c r="B37" s="61"/>
      <c r="C37" s="80"/>
      <c r="D37" s="81"/>
      <c r="E37" s="69"/>
      <c r="F37" s="69"/>
      <c r="G37" s="69"/>
      <c r="H37" s="69"/>
      <c r="I37" s="61"/>
      <c r="J37" s="61"/>
      <c r="K37" s="61"/>
      <c r="L37" s="61"/>
      <c r="M37" s="61"/>
      <c r="N37" s="61"/>
      <c r="O37" s="58"/>
      <c r="P37" s="58"/>
      <c r="Q37" s="58"/>
      <c r="R37" s="58"/>
      <c r="S37" s="58"/>
      <c r="T37" s="58"/>
      <c r="U37" s="58"/>
      <c r="V37" s="58"/>
      <c r="W37" s="58"/>
      <c r="X37" s="58"/>
      <c r="Y37" s="58"/>
      <c r="Z37" s="58"/>
      <c r="AA37" s="58"/>
      <c r="AB37" s="58"/>
      <c r="AC37" s="58"/>
      <c r="AD37" s="58"/>
      <c r="AE37" s="58"/>
      <c r="AF37" s="53"/>
      <c r="AG37" s="6">
        <f t="shared" si="11"/>
        <v>3.3619624220662075E-3</v>
      </c>
      <c r="AH37" s="3">
        <f t="shared" si="31"/>
        <v>1.8807852978256288</v>
      </c>
      <c r="AI37" s="3"/>
      <c r="AJ37" s="6">
        <f t="shared" si="12"/>
        <v>0.54671878406306063</v>
      </c>
      <c r="AK37" s="3">
        <f t="shared" si="32"/>
        <v>1.8286722025503419</v>
      </c>
      <c r="AL37" s="3"/>
      <c r="AM37" s="3"/>
      <c r="AN37" s="3"/>
      <c r="AO37" s="3"/>
      <c r="AP37" s="3"/>
      <c r="AQ37" s="3"/>
      <c r="AR37" s="3"/>
      <c r="AS37" s="3"/>
      <c r="AT37" s="3"/>
      <c r="AU37" s="3"/>
      <c r="AV37" s="3"/>
      <c r="AW37" s="3"/>
      <c r="AX37" s="3"/>
      <c r="AY37" s="6">
        <f t="shared" si="13"/>
        <v>1.3215529178029272E-2</v>
      </c>
      <c r="AZ37" s="3">
        <f t="shared" si="33"/>
        <v>1.8955749962991686</v>
      </c>
      <c r="BA37" s="3"/>
      <c r="BB37" s="6">
        <f t="shared" si="14"/>
        <v>0.89882317808373935</v>
      </c>
      <c r="BC37" s="3">
        <f t="shared" si="34"/>
        <v>1.8302588228346812</v>
      </c>
      <c r="BD37" s="3"/>
      <c r="BE37" s="3"/>
      <c r="BF37" s="3"/>
      <c r="BG37" s="3"/>
      <c r="BH37" s="3"/>
      <c r="BI37" s="3"/>
      <c r="BJ37" s="3"/>
      <c r="BK37" s="3"/>
      <c r="BL37" s="3"/>
      <c r="BM37" s="3"/>
      <c r="BN37" s="3"/>
      <c r="BO37" s="3"/>
      <c r="BQ37" s="3">
        <f t="shared" si="15"/>
        <v>0.30811807958396981</v>
      </c>
      <c r="BR37" s="3">
        <f t="shared" si="35"/>
        <v>140.98873114168245</v>
      </c>
      <c r="BS37" s="3"/>
      <c r="BT37" s="3">
        <f t="shared" si="16"/>
        <v>91.803882974694204</v>
      </c>
      <c r="BU37" s="3">
        <f t="shared" si="36"/>
        <v>137.27583666687849</v>
      </c>
      <c r="BV37" s="3"/>
      <c r="BW37" s="3"/>
      <c r="BX37" s="3"/>
      <c r="BY37" s="3"/>
      <c r="BZ37" s="3"/>
      <c r="CA37" s="3"/>
      <c r="CB37" s="3"/>
      <c r="CC37" s="3"/>
      <c r="CD37" s="3"/>
      <c r="CE37" s="3"/>
      <c r="CF37" s="3"/>
      <c r="CG37" s="3"/>
      <c r="DD37" s="3">
        <f t="shared" si="17"/>
        <v>2.7917171198843747</v>
      </c>
      <c r="DE37" s="3">
        <f t="shared" si="37"/>
        <v>95.559712061508066</v>
      </c>
      <c r="DG37" s="3">
        <f t="shared" si="0"/>
        <v>-12.351680785864602</v>
      </c>
      <c r="DH37" s="3">
        <f t="shared" si="38"/>
        <v>90.599999999999952</v>
      </c>
      <c r="DJ37" s="3">
        <f t="shared" si="39"/>
        <v>3.8301889727666905</v>
      </c>
      <c r="DK37" s="3">
        <f t="shared" si="1"/>
        <v>1.0000000000000004</v>
      </c>
      <c r="DL37" s="3">
        <f t="shared" si="2"/>
        <v>1.0000000000000002</v>
      </c>
      <c r="DM37" s="3">
        <f t="shared" si="18"/>
        <v>0.14683455907552792</v>
      </c>
      <c r="DN37" s="3">
        <f t="shared" si="19"/>
        <v>119.70702755803295</v>
      </c>
      <c r="DO37" s="3">
        <f t="shared" si="3"/>
        <v>15.292972441967052</v>
      </c>
      <c r="DP37" s="3">
        <f t="shared" si="20"/>
        <v>99.603728788446404</v>
      </c>
      <c r="DQ37" s="3">
        <f t="shared" si="4"/>
        <v>0.39627121155359646</v>
      </c>
      <c r="DR37" s="3"/>
      <c r="DS37" s="3">
        <f t="shared" si="21"/>
        <v>156.25446234111479</v>
      </c>
      <c r="DT37" s="3">
        <f t="shared" si="22"/>
        <v>13.492649000916972</v>
      </c>
      <c r="DV37" s="6">
        <f t="shared" si="40"/>
        <v>121.73177707513021</v>
      </c>
      <c r="DW37" s="3">
        <f t="shared" si="41"/>
        <v>209.49917889032616</v>
      </c>
      <c r="DX37" s="3"/>
      <c r="DY37" s="3"/>
      <c r="DZ37" s="3"/>
      <c r="EA37" s="3"/>
      <c r="EB37" s="3"/>
      <c r="EC37" s="3"/>
      <c r="ED37" s="3"/>
      <c r="EF37" s="6">
        <f t="shared" si="42"/>
        <v>3.8301889727666905</v>
      </c>
      <c r="EG37" s="6">
        <f t="shared" si="42"/>
        <v>3.8301889727666905</v>
      </c>
      <c r="EH37" s="3">
        <f t="shared" si="5"/>
        <v>1.0000000000000004</v>
      </c>
      <c r="EI37" s="3">
        <f t="shared" si="6"/>
        <v>1.0000000000000002</v>
      </c>
      <c r="EJ37" s="3">
        <f t="shared" si="23"/>
        <v>0.14683455907552792</v>
      </c>
      <c r="EK37" s="3">
        <f t="shared" si="24"/>
        <v>119.70702755803295</v>
      </c>
      <c r="EL37" s="3">
        <f t="shared" si="7"/>
        <v>15.292972441967052</v>
      </c>
      <c r="EM37" s="3">
        <f t="shared" si="25"/>
        <v>99.603728788446404</v>
      </c>
      <c r="EN37" s="3">
        <f t="shared" si="8"/>
        <v>0.39627121155359646</v>
      </c>
      <c r="EO37" s="3"/>
      <c r="EP37" s="3">
        <f t="shared" si="26"/>
        <v>156.25446234111479</v>
      </c>
      <c r="EQ37" s="3">
        <f t="shared" si="27"/>
        <v>13.492649000916972</v>
      </c>
      <c r="ER37" s="3">
        <f t="shared" si="28"/>
        <v>611.976767605443</v>
      </c>
      <c r="ES37" s="3">
        <f t="shared" si="9"/>
        <v>119.83288004000016</v>
      </c>
      <c r="ET37" s="3">
        <f t="shared" si="10"/>
        <v>152.99419190136075</v>
      </c>
      <c r="EU37" s="3">
        <f t="shared" si="29"/>
        <v>36.421582301114626</v>
      </c>
      <c r="EV37" s="3">
        <f t="shared" si="30"/>
        <v>139.50154290044378</v>
      </c>
      <c r="EW37" s="3"/>
      <c r="EX37" s="3"/>
    </row>
    <row r="38" spans="1:157">
      <c r="A38" s="61"/>
      <c r="B38" s="61"/>
      <c r="C38" s="80"/>
      <c r="D38" s="81"/>
      <c r="E38" s="69"/>
      <c r="F38" s="69"/>
      <c r="G38" s="69"/>
      <c r="H38" s="69"/>
      <c r="I38" s="61"/>
      <c r="J38" s="61"/>
      <c r="K38" s="61"/>
      <c r="L38" s="61"/>
      <c r="M38" s="61"/>
      <c r="N38" s="61"/>
      <c r="O38" s="58"/>
      <c r="P38" s="58"/>
      <c r="Q38" s="58"/>
      <c r="R38" s="58"/>
      <c r="S38" s="58"/>
      <c r="T38" s="58"/>
      <c r="U38" s="58"/>
      <c r="V38" s="58"/>
      <c r="W38" s="58"/>
      <c r="X38" s="58"/>
      <c r="Y38" s="58"/>
      <c r="Z38" s="58"/>
      <c r="AA38" s="58"/>
      <c r="AB38" s="58"/>
      <c r="AC38" s="58"/>
      <c r="AD38" s="58"/>
      <c r="AE38" s="58"/>
      <c r="AF38" s="53"/>
      <c r="AG38" s="6">
        <f t="shared" si="11"/>
        <v>2.9863258175148741E-3</v>
      </c>
      <c r="AH38" s="3">
        <f t="shared" si="31"/>
        <v>1.9205235318837517</v>
      </c>
      <c r="AI38" s="3"/>
      <c r="AJ38" s="6">
        <f t="shared" si="12"/>
        <v>0.54375985682238392</v>
      </c>
      <c r="AK38" s="3">
        <f t="shared" si="32"/>
        <v>1.8857814683668952</v>
      </c>
      <c r="AL38" s="3"/>
      <c r="AM38" s="3"/>
      <c r="AN38" s="3"/>
      <c r="AO38" s="3"/>
      <c r="AP38" s="3"/>
      <c r="AQ38" s="3"/>
      <c r="AR38" s="3"/>
      <c r="AS38" s="3"/>
      <c r="AT38" s="3"/>
      <c r="AU38" s="3"/>
      <c r="AV38" s="3"/>
      <c r="AW38" s="3"/>
      <c r="AX38" s="3"/>
      <c r="AY38" s="6">
        <f t="shared" si="13"/>
        <v>1.1920740394331308E-2</v>
      </c>
      <c r="AZ38" s="3">
        <f t="shared" si="33"/>
        <v>1.9303833308661116</v>
      </c>
      <c r="BA38" s="3"/>
      <c r="BB38" s="6">
        <f t="shared" si="14"/>
        <v>0.8940069625072774</v>
      </c>
      <c r="BC38" s="3">
        <f t="shared" si="34"/>
        <v>1.886839215223121</v>
      </c>
      <c r="BD38" s="3"/>
      <c r="BE38" s="3"/>
      <c r="BF38" s="3"/>
      <c r="BG38" s="3"/>
      <c r="BH38" s="3"/>
      <c r="BI38" s="3"/>
      <c r="BJ38" s="3"/>
      <c r="BK38" s="3"/>
      <c r="BL38" s="3"/>
      <c r="BM38" s="3"/>
      <c r="BN38" s="3"/>
      <c r="BO38" s="3"/>
      <c r="BQ38" s="3">
        <f t="shared" si="15"/>
        <v>0.27342385411039605</v>
      </c>
      <c r="BR38" s="3">
        <f t="shared" si="35"/>
        <v>143.99248742778829</v>
      </c>
      <c r="BS38" s="3"/>
      <c r="BT38" s="3">
        <f t="shared" si="16"/>
        <v>91.312231458162174</v>
      </c>
      <c r="BU38" s="3">
        <f t="shared" si="36"/>
        <v>141.51722444458565</v>
      </c>
      <c r="BV38" s="3"/>
      <c r="BW38" s="3"/>
      <c r="BX38" s="3"/>
      <c r="BY38" s="3"/>
      <c r="BZ38" s="3"/>
      <c r="CA38" s="3"/>
      <c r="CB38" s="3"/>
      <c r="CC38" s="3"/>
      <c r="CD38" s="3"/>
      <c r="CE38" s="3"/>
      <c r="CF38" s="3"/>
      <c r="CG38" s="3"/>
      <c r="DD38" s="3">
        <f t="shared" si="17"/>
        <v>2.5588561037672179</v>
      </c>
      <c r="DE38" s="3">
        <f t="shared" si="37"/>
        <v>97.039808041005344</v>
      </c>
      <c r="DG38" s="3">
        <f t="shared" si="0"/>
        <v>-21.840471207408171</v>
      </c>
      <c r="DH38" s="3">
        <f t="shared" si="38"/>
        <v>93.399999999999949</v>
      </c>
      <c r="DJ38" s="3">
        <f t="shared" si="39"/>
        <v>3.9384337277877632</v>
      </c>
      <c r="DK38" s="3">
        <f t="shared" si="1"/>
        <v>1.0000000000000004</v>
      </c>
      <c r="DL38" s="3">
        <f t="shared" si="2"/>
        <v>1.0000000000000002</v>
      </c>
      <c r="DM38" s="3">
        <f t="shared" si="18"/>
        <v>0.14110350352248094</v>
      </c>
      <c r="DN38" s="3">
        <f t="shared" si="19"/>
        <v>124.74528879724494</v>
      </c>
      <c r="DO38" s="3">
        <f t="shared" si="3"/>
        <v>10.254711202755061</v>
      </c>
      <c r="DP38" s="3">
        <f t="shared" si="20"/>
        <v>99.744651350884723</v>
      </c>
      <c r="DQ38" s="3">
        <f t="shared" si="4"/>
        <v>0.25534864911527677</v>
      </c>
      <c r="DR38" s="3"/>
      <c r="DS38" s="3">
        <f t="shared" si="21"/>
        <v>157.41279176596152</v>
      </c>
      <c r="DT38" s="3">
        <f t="shared" si="22"/>
        <v>8.9936333411503337</v>
      </c>
      <c r="DV38" s="6">
        <f t="shared" si="40"/>
        <v>120.68014138314408</v>
      </c>
      <c r="DW38" s="3">
        <f t="shared" si="41"/>
        <v>215.0239226079849</v>
      </c>
      <c r="DX38" s="3"/>
      <c r="DY38" s="3"/>
      <c r="DZ38" s="3"/>
      <c r="EA38" s="3"/>
      <c r="EB38" s="3"/>
      <c r="EC38" s="3"/>
      <c r="ED38" s="3"/>
      <c r="EF38" s="6">
        <f t="shared" si="42"/>
        <v>3.9384337277877632</v>
      </c>
      <c r="EG38" s="6">
        <f t="shared" si="42"/>
        <v>3.9384337277877632</v>
      </c>
      <c r="EH38" s="3">
        <f t="shared" si="5"/>
        <v>1.0000000000000004</v>
      </c>
      <c r="EI38" s="3">
        <f t="shared" si="6"/>
        <v>1.0000000000000002</v>
      </c>
      <c r="EJ38" s="3">
        <f t="shared" si="23"/>
        <v>0.14110350352248094</v>
      </c>
      <c r="EK38" s="3">
        <f t="shared" si="24"/>
        <v>124.74528879724494</v>
      </c>
      <c r="EL38" s="3">
        <f t="shared" si="7"/>
        <v>10.254711202755061</v>
      </c>
      <c r="EM38" s="3">
        <f t="shared" si="25"/>
        <v>99.744651350884723</v>
      </c>
      <c r="EN38" s="3">
        <f t="shared" si="8"/>
        <v>0.25534864911527677</v>
      </c>
      <c r="EO38" s="3"/>
      <c r="EP38" s="3">
        <f t="shared" si="26"/>
        <v>157.41279176596152</v>
      </c>
      <c r="EQ38" s="3">
        <f t="shared" si="27"/>
        <v>8.9936333411503337</v>
      </c>
      <c r="ER38" s="3">
        <f t="shared" si="28"/>
        <v>628.95348161744505</v>
      </c>
      <c r="ES38" s="3">
        <f t="shared" si="9"/>
        <v>119.77226070477727</v>
      </c>
      <c r="ET38" s="3">
        <f t="shared" si="10"/>
        <v>157.23837040436126</v>
      </c>
      <c r="EU38" s="3">
        <f t="shared" si="29"/>
        <v>37.640531061184248</v>
      </c>
      <c r="EV38" s="3">
        <f t="shared" si="30"/>
        <v>148.24473706321092</v>
      </c>
      <c r="EW38" s="3"/>
      <c r="EX38" s="3"/>
    </row>
    <row r="39" spans="1:157">
      <c r="A39" s="58"/>
      <c r="B39" s="58"/>
      <c r="C39" s="80"/>
      <c r="D39" s="81"/>
      <c r="E39" s="69"/>
      <c r="F39" s="69"/>
      <c r="G39" s="69"/>
      <c r="H39" s="65"/>
      <c r="I39" s="58"/>
      <c r="J39" s="58"/>
      <c r="K39" s="58"/>
      <c r="L39" s="58"/>
      <c r="M39" s="58"/>
      <c r="N39" s="58"/>
      <c r="O39" s="58"/>
      <c r="P39" s="58"/>
      <c r="Q39" s="58"/>
      <c r="R39" s="58"/>
      <c r="S39" s="58"/>
      <c r="T39" s="58"/>
      <c r="U39" s="58"/>
      <c r="V39" s="58"/>
      <c r="W39" s="58"/>
      <c r="X39" s="58"/>
      <c r="Y39" s="58"/>
      <c r="Z39" s="58"/>
      <c r="AA39" s="58"/>
      <c r="AB39" s="58"/>
      <c r="AC39" s="58"/>
      <c r="AD39" s="58"/>
      <c r="AE39" s="58"/>
      <c r="AG39" s="6">
        <f t="shared" si="11"/>
        <v>2.6591043631837338E-3</v>
      </c>
      <c r="AH39" s="3">
        <f t="shared" si="31"/>
        <v>1.9602617659418746</v>
      </c>
      <c r="AI39" s="3"/>
      <c r="AJ39" s="6">
        <f t="shared" si="12"/>
        <v>0.54090452022758562</v>
      </c>
      <c r="AK39" s="3">
        <f t="shared" si="32"/>
        <v>1.9428907341834485</v>
      </c>
      <c r="AL39" s="3"/>
      <c r="AM39" s="3"/>
      <c r="AN39" s="3"/>
      <c r="AO39" s="3"/>
      <c r="AP39" s="3"/>
      <c r="AQ39" s="3"/>
      <c r="AR39" s="3"/>
      <c r="AS39" s="3"/>
      <c r="AT39" s="3"/>
      <c r="AU39" s="3"/>
      <c r="AV39" s="3"/>
      <c r="AW39" s="3"/>
      <c r="AX39" s="3"/>
      <c r="AY39" s="6">
        <f t="shared" si="13"/>
        <v>1.0772641797336715E-2</v>
      </c>
      <c r="AZ39" s="3">
        <f t="shared" si="33"/>
        <v>1.9651916654330546</v>
      </c>
      <c r="BA39" s="3"/>
      <c r="BB39" s="6">
        <f t="shared" si="14"/>
        <v>0.88935773348705571</v>
      </c>
      <c r="BC39" s="3">
        <f t="shared" si="34"/>
        <v>1.9434196076115609</v>
      </c>
      <c r="BD39" s="3"/>
      <c r="BE39" s="3"/>
      <c r="BF39" s="3"/>
      <c r="BG39" s="3"/>
      <c r="BH39" s="3"/>
      <c r="BI39" s="3"/>
      <c r="BJ39" s="3"/>
      <c r="BK39" s="3"/>
      <c r="BL39" s="3"/>
      <c r="BM39" s="3"/>
      <c r="BN39" s="3"/>
      <c r="BO39" s="3"/>
      <c r="BQ39" s="3">
        <f t="shared" si="15"/>
        <v>0.2432354011677782</v>
      </c>
      <c r="BR39" s="3">
        <f t="shared" si="35"/>
        <v>146.99624371389413</v>
      </c>
      <c r="BS39" s="3"/>
      <c r="BT39" s="3">
        <f t="shared" si="16"/>
        <v>90.837617390160361</v>
      </c>
      <c r="BU39" s="3">
        <f t="shared" si="36"/>
        <v>145.75861222229281</v>
      </c>
      <c r="BV39" s="3"/>
      <c r="BW39" s="3"/>
      <c r="BX39" s="3"/>
      <c r="BY39" s="3"/>
      <c r="BZ39" s="3"/>
      <c r="CA39" s="3"/>
      <c r="CB39" s="3"/>
      <c r="CC39" s="3"/>
      <c r="CD39" s="3"/>
      <c r="CE39" s="3"/>
      <c r="CF39" s="3"/>
      <c r="CG39" s="3"/>
      <c r="DD39" s="3">
        <f t="shared" si="17"/>
        <v>2.34851266606664</v>
      </c>
      <c r="DE39" s="3">
        <f t="shared" si="37"/>
        <v>98.519904020502622</v>
      </c>
      <c r="DG39" s="3">
        <f t="shared" si="0"/>
        <v>-37.889566937113585</v>
      </c>
      <c r="DH39" s="3">
        <f t="shared" si="38"/>
        <v>96.199999999999946</v>
      </c>
      <c r="DJ39" s="3">
        <f t="shared" si="39"/>
        <v>4.0466784828088356</v>
      </c>
      <c r="DK39" s="3">
        <f t="shared" si="1"/>
        <v>1.0000000000000004</v>
      </c>
      <c r="DL39" s="3">
        <f t="shared" si="2"/>
        <v>1.0000000000000002</v>
      </c>
      <c r="DM39" s="3">
        <f t="shared" si="18"/>
        <v>0.13574259352486612</v>
      </c>
      <c r="DN39" s="3">
        <f t="shared" si="19"/>
        <v>129.84325228878492</v>
      </c>
      <c r="DO39" s="3">
        <f t="shared" si="3"/>
        <v>5.1567477112150755</v>
      </c>
      <c r="DP39" s="3">
        <f t="shared" si="20"/>
        <v>99.876472298504638</v>
      </c>
      <c r="DQ39" s="3">
        <f t="shared" si="4"/>
        <v>0.12352770149536241</v>
      </c>
      <c r="DR39" s="3"/>
      <c r="DS39" s="3">
        <f t="shared" si="21"/>
        <v>158.53926749572562</v>
      </c>
      <c r="DT39" s="3">
        <f t="shared" si="22"/>
        <v>4.4963942128999932</v>
      </c>
      <c r="DV39" s="6">
        <f t="shared" si="40"/>
        <v>119.66392906211026</v>
      </c>
      <c r="DW39" s="3">
        <f t="shared" si="41"/>
        <v>220.54866632564364</v>
      </c>
      <c r="DX39" s="3"/>
      <c r="DY39" s="3"/>
      <c r="DZ39" s="3"/>
      <c r="EA39" s="3"/>
      <c r="EB39" s="3"/>
      <c r="EC39" s="3"/>
      <c r="ED39" s="3"/>
      <c r="EF39" s="6">
        <f t="shared" si="42"/>
        <v>4.0466784828088356</v>
      </c>
      <c r="EG39" s="6">
        <f t="shared" si="42"/>
        <v>4.0466784828088356</v>
      </c>
      <c r="EH39" s="3">
        <f t="shared" si="5"/>
        <v>1.0000000000000004</v>
      </c>
      <c r="EI39" s="3">
        <f t="shared" si="6"/>
        <v>1.0000000000000002</v>
      </c>
      <c r="EJ39" s="3">
        <f t="shared" si="23"/>
        <v>0.13574259352486612</v>
      </c>
      <c r="EK39" s="3">
        <f t="shared" si="24"/>
        <v>129.84325228878492</v>
      </c>
      <c r="EL39" s="3">
        <f t="shared" si="7"/>
        <v>5.1567477112150755</v>
      </c>
      <c r="EM39" s="3">
        <f t="shared" si="25"/>
        <v>99.876472298504638</v>
      </c>
      <c r="EN39" s="3">
        <f t="shared" si="8"/>
        <v>0.12352770149536241</v>
      </c>
      <c r="EO39" s="3"/>
      <c r="EP39" s="3">
        <f t="shared" si="26"/>
        <v>158.53926749572562</v>
      </c>
      <c r="EQ39" s="3">
        <f t="shared" si="27"/>
        <v>4.4963942128999932</v>
      </c>
      <c r="ER39" s="3">
        <f t="shared" si="28"/>
        <v>646.05383666812713</v>
      </c>
      <c r="ES39" s="3">
        <f t="shared" si="9"/>
        <v>119.7377996694147</v>
      </c>
      <c r="ET39" s="3">
        <f t="shared" si="10"/>
        <v>161.51345916703178</v>
      </c>
      <c r="EU39" s="3">
        <f t="shared" si="29"/>
        <v>38.801467826310926</v>
      </c>
      <c r="EV39" s="3">
        <f t="shared" si="30"/>
        <v>157.0170649541318</v>
      </c>
      <c r="EW39" s="3"/>
      <c r="EX39" s="3"/>
    </row>
    <row r="40" spans="1:157">
      <c r="A40" s="58"/>
      <c r="B40" s="58"/>
      <c r="C40" s="80"/>
      <c r="D40" s="81"/>
      <c r="E40" s="73"/>
      <c r="F40" s="69"/>
      <c r="G40" s="69"/>
      <c r="H40" s="69"/>
      <c r="I40" s="61"/>
      <c r="J40" s="61"/>
      <c r="K40" s="61"/>
      <c r="L40" s="61"/>
      <c r="M40" s="61"/>
      <c r="N40" s="61"/>
      <c r="O40" s="58"/>
      <c r="P40" s="58"/>
      <c r="Q40" s="58"/>
      <c r="R40" s="58"/>
      <c r="S40" s="58"/>
      <c r="T40" s="58"/>
      <c r="U40" s="58"/>
      <c r="V40" s="58"/>
      <c r="W40" s="58"/>
      <c r="X40" s="58"/>
      <c r="Y40" s="58"/>
      <c r="Z40" s="58"/>
      <c r="AA40" s="58"/>
      <c r="AB40" s="58"/>
      <c r="AC40" s="58"/>
      <c r="AD40" s="58"/>
      <c r="AE40" s="58"/>
      <c r="AG40" s="6">
        <f t="shared" si="11"/>
        <v>2.3732589812847614E-3</v>
      </c>
      <c r="AH40" s="8">
        <v>2</v>
      </c>
      <c r="AJ40" s="6">
        <f t="shared" si="12"/>
        <v>0.53814625847199593</v>
      </c>
      <c r="AK40" s="9">
        <v>2</v>
      </c>
      <c r="AY40" s="6">
        <f t="shared" si="13"/>
        <v>9.7524430035488292E-3</v>
      </c>
      <c r="AZ40" s="2">
        <v>2</v>
      </c>
      <c r="BB40" s="6">
        <f t="shared" si="14"/>
        <v>0.88486508609366143</v>
      </c>
      <c r="BC40" s="2">
        <v>2</v>
      </c>
      <c r="BQ40" s="3">
        <f t="shared" si="15"/>
        <v>0.21689272866882461</v>
      </c>
      <c r="BR40" s="3">
        <f>$L$4*1.5</f>
        <v>150</v>
      </c>
      <c r="BT40" s="3">
        <f t="shared" si="16"/>
        <v>90.378979709858825</v>
      </c>
      <c r="BU40" s="3">
        <f>$L$4*1.5</f>
        <v>150</v>
      </c>
      <c r="DD40" s="3">
        <f t="shared" si="17"/>
        <v>2.158218746350768</v>
      </c>
      <c r="DE40" s="3">
        <f>$L$4</f>
        <v>100</v>
      </c>
      <c r="DG40" s="3">
        <f t="shared" si="0"/>
        <v>-83.818249175569576</v>
      </c>
      <c r="DH40" s="3">
        <f>$L$4-1</f>
        <v>99</v>
      </c>
      <c r="DJ40" s="3">
        <f>(DM40/(DL40^(1/($L$18-$M$18))*DK40^(1/($M$18-$L$18))))^($L$18-$M$18)</f>
        <v>4.154923237829907</v>
      </c>
      <c r="DK40" s="3">
        <f t="shared" si="1"/>
        <v>1.0000000000000004</v>
      </c>
      <c r="DL40" s="3">
        <f t="shared" si="2"/>
        <v>1.0000000000000002</v>
      </c>
      <c r="DM40" s="3">
        <f>-($L$18*$M$18*$L$4)/(DN40*($L$18-$M$18)+$L$5*($L$18*$M$18-$L$18))</f>
        <v>0.13071895424836599</v>
      </c>
      <c r="DN40" s="3">
        <f>$L$5-DO40</f>
        <v>135</v>
      </c>
      <c r="DO40" s="3">
        <v>0</v>
      </c>
      <c r="DP40" s="3">
        <f>$L$4-DQ40</f>
        <v>100</v>
      </c>
      <c r="DQ40" s="3">
        <v>0</v>
      </c>
      <c r="DR40" s="3"/>
      <c r="DS40" s="3">
        <f>$L$20*$L$4^$L$17*$L$5^$L$18</f>
        <v>159.63579872656655</v>
      </c>
      <c r="DT40" s="3">
        <v>0</v>
      </c>
      <c r="DV40" s="6">
        <f t="shared" si="40"/>
        <v>118.68110338961326</v>
      </c>
      <c r="DW40" s="3">
        <f>$E$20</f>
        <v>226.0734100433026</v>
      </c>
      <c r="EF40" s="3">
        <f>($EJ40/($EI40^(1/($L$18-$M$18))*$EH40^(1/($M$18-$L$18))))^($L$18-$M$18)</f>
        <v>4.154923237829907</v>
      </c>
      <c r="EG40" s="3">
        <f>($EJ40/($EI40^(1/($L$18-$M$18))*$EH40^(1/($M$18-$L$18))))^($L$18-$M$18)</f>
        <v>4.154923237829907</v>
      </c>
      <c r="EH40" s="3">
        <f t="shared" si="5"/>
        <v>1.0000000000000004</v>
      </c>
      <c r="EI40" s="3">
        <f t="shared" si="6"/>
        <v>1.0000000000000002</v>
      </c>
      <c r="EJ40" s="3">
        <f>-($L$18*$M$18*$L$4)/(EK40*($L$18-$M$18)+$L$5*($L$18*$M$18-$L$18))</f>
        <v>0.13071895424836599</v>
      </c>
      <c r="EK40" s="3">
        <f>$L$5-EL40</f>
        <v>135</v>
      </c>
      <c r="EL40" s="3">
        <v>0</v>
      </c>
      <c r="EM40" s="3">
        <f>$L$4-EN40</f>
        <v>100</v>
      </c>
      <c r="EN40" s="3">
        <v>0</v>
      </c>
      <c r="EO40" s="3"/>
      <c r="EP40" s="3">
        <f>$L$20*$L$4^$L$17*$L$5^$L$18</f>
        <v>159.63579872656655</v>
      </c>
      <c r="EQ40" s="3">
        <v>0</v>
      </c>
      <c r="ER40" s="3">
        <f t="shared" si="28"/>
        <v>663.27448971854926</v>
      </c>
      <c r="ES40" s="3">
        <f t="shared" si="9"/>
        <v>119.7268490449249</v>
      </c>
      <c r="ET40" s="3">
        <f t="shared" si="10"/>
        <v>165.81862242963732</v>
      </c>
      <c r="EU40" s="3">
        <f t="shared" si="29"/>
        <v>39.908949681641644</v>
      </c>
      <c r="EV40" s="3">
        <f t="shared" si="30"/>
        <v>165.81862242963732</v>
      </c>
      <c r="EW40" s="3"/>
      <c r="EX40" s="3"/>
    </row>
    <row r="41" spans="1:157">
      <c r="A41" s="58"/>
      <c r="B41" s="58"/>
      <c r="C41" s="80"/>
      <c r="D41" s="81"/>
      <c r="E41" s="69"/>
      <c r="F41" s="69"/>
      <c r="G41" s="69"/>
      <c r="H41" s="69"/>
      <c r="I41" s="69"/>
      <c r="J41" s="69"/>
      <c r="K41" s="69"/>
      <c r="L41" s="69"/>
      <c r="M41" s="69"/>
      <c r="N41" s="69"/>
      <c r="O41" s="58"/>
      <c r="P41" s="58"/>
      <c r="Q41" s="58"/>
      <c r="R41" s="58"/>
      <c r="S41" s="58"/>
      <c r="T41" s="58"/>
      <c r="U41" s="58"/>
      <c r="V41" s="58"/>
      <c r="W41" s="58"/>
      <c r="X41" s="58"/>
      <c r="Y41" s="58"/>
      <c r="Z41" s="58"/>
      <c r="AA41" s="58"/>
      <c r="AB41" s="58"/>
      <c r="AC41" s="58"/>
      <c r="AD41" s="58"/>
      <c r="AE41" s="58"/>
    </row>
    <row r="42" spans="1:157">
      <c r="A42" s="58"/>
      <c r="B42" s="58"/>
      <c r="C42" s="80"/>
      <c r="D42" s="81"/>
      <c r="E42" s="69"/>
      <c r="F42" s="69"/>
      <c r="G42" s="69"/>
      <c r="H42" s="70"/>
      <c r="I42" s="70"/>
      <c r="J42" s="70"/>
      <c r="K42" s="70"/>
      <c r="L42" s="70"/>
      <c r="M42" s="70"/>
      <c r="N42" s="70"/>
      <c r="O42" s="58"/>
      <c r="P42" s="58"/>
      <c r="Q42" s="58"/>
      <c r="R42" s="58"/>
      <c r="S42" s="58"/>
      <c r="T42" s="58"/>
      <c r="U42" s="58"/>
      <c r="V42" s="58"/>
      <c r="W42" s="58"/>
      <c r="X42" s="58"/>
      <c r="Y42" s="58"/>
      <c r="Z42" s="58"/>
      <c r="AA42" s="58"/>
      <c r="AB42" s="58"/>
      <c r="AC42" s="58"/>
      <c r="AD42" s="58"/>
      <c r="AE42" s="58"/>
    </row>
    <row r="43" spans="1:157">
      <c r="A43" s="58"/>
      <c r="B43" s="58"/>
      <c r="C43" s="80"/>
      <c r="D43" s="62"/>
      <c r="E43" s="70"/>
      <c r="F43" s="70"/>
      <c r="G43" s="70"/>
      <c r="H43" s="69"/>
      <c r="I43" s="69"/>
      <c r="J43" s="69"/>
      <c r="K43" s="69"/>
      <c r="L43" s="69"/>
      <c r="M43" s="69"/>
      <c r="N43" s="69"/>
      <c r="O43" s="58"/>
      <c r="P43" s="58"/>
      <c r="Q43" s="58"/>
      <c r="R43" s="58"/>
      <c r="S43" s="58"/>
      <c r="T43" s="58"/>
      <c r="U43" s="58"/>
      <c r="V43" s="58"/>
      <c r="W43" s="58"/>
      <c r="X43" s="58"/>
      <c r="Y43" s="58"/>
      <c r="Z43" s="58"/>
      <c r="AA43" s="58"/>
      <c r="AB43" s="58"/>
      <c r="AC43" s="58"/>
      <c r="AD43" s="58"/>
      <c r="AE43" s="58"/>
      <c r="AH43" s="44" t="s">
        <v>63</v>
      </c>
      <c r="AZ43" s="44" t="s">
        <v>63</v>
      </c>
      <c r="BR43" s="44" t="s">
        <v>64</v>
      </c>
      <c r="CM43" s="44" t="s">
        <v>64</v>
      </c>
      <c r="DK43" s="45" t="s">
        <v>64</v>
      </c>
      <c r="EF43" s="1"/>
      <c r="EG43" s="45" t="s">
        <v>65</v>
      </c>
      <c r="EH43" s="1"/>
      <c r="EI43" s="1"/>
      <c r="EJ43" s="1"/>
      <c r="EK43" s="1"/>
      <c r="EL43" s="1"/>
      <c r="EM43" s="1"/>
      <c r="EN43" s="1"/>
      <c r="EO43" s="1"/>
      <c r="EP43" s="1"/>
      <c r="EQ43" s="1"/>
      <c r="ER43" s="1"/>
      <c r="ES43" s="1"/>
      <c r="ET43" s="1"/>
      <c r="EU43" s="1"/>
      <c r="EV43" s="1"/>
      <c r="EW43" s="1"/>
      <c r="EX43" s="1"/>
    </row>
    <row r="44" spans="1:157">
      <c r="A44" s="58"/>
      <c r="B44" s="58"/>
      <c r="C44" s="80"/>
      <c r="D44" s="81"/>
      <c r="E44" s="69"/>
      <c r="F44" s="69"/>
      <c r="G44" s="69"/>
      <c r="H44" s="58"/>
      <c r="I44" s="58"/>
      <c r="J44" s="58"/>
      <c r="K44" s="58"/>
      <c r="L44" s="58"/>
      <c r="M44" s="58"/>
      <c r="N44" s="58"/>
      <c r="O44" s="58"/>
      <c r="P44" s="58"/>
      <c r="Q44" s="58"/>
      <c r="R44" s="58"/>
      <c r="S44" s="58"/>
      <c r="T44" s="58"/>
      <c r="U44" s="58"/>
      <c r="V44" s="58"/>
      <c r="W44" s="58"/>
      <c r="X44" s="58"/>
      <c r="Y44" s="58"/>
      <c r="Z44" s="58"/>
      <c r="AA44" s="58"/>
      <c r="AB44" s="58"/>
      <c r="AC44" s="58"/>
      <c r="AD44" s="58"/>
      <c r="AE44" s="58"/>
      <c r="AH44" s="45" t="s">
        <v>71</v>
      </c>
      <c r="AZ44" s="45" t="s">
        <v>71</v>
      </c>
      <c r="BR44" s="45" t="s">
        <v>71</v>
      </c>
      <c r="CM44" s="45" t="s">
        <v>71</v>
      </c>
      <c r="DK44" s="45" t="s">
        <v>69</v>
      </c>
      <c r="EE44" s="45" t="s">
        <v>82</v>
      </c>
      <c r="EF44" s="45" t="s">
        <v>81</v>
      </c>
      <c r="EG44" s="45" t="s">
        <v>80</v>
      </c>
      <c r="EH44" s="1"/>
      <c r="EI44" s="1"/>
      <c r="EJ44" s="1"/>
      <c r="EK44" s="1"/>
      <c r="EL44" s="1"/>
      <c r="EM44" s="1"/>
      <c r="EN44" s="1"/>
      <c r="EO44" s="1"/>
      <c r="EP44" s="1" t="s">
        <v>39</v>
      </c>
      <c r="EQ44" s="1"/>
      <c r="ER44" s="1" t="s">
        <v>8</v>
      </c>
      <c r="ES44" s="1" t="s">
        <v>6</v>
      </c>
      <c r="ET44" s="1"/>
      <c r="EU44" s="1" t="s">
        <v>45</v>
      </c>
      <c r="EV44" s="1"/>
      <c r="EW44" s="1" t="s">
        <v>46</v>
      </c>
      <c r="EX44" s="1"/>
    </row>
    <row r="45" spans="1:157">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H45" s="45" t="s">
        <v>76</v>
      </c>
      <c r="AZ45" s="45" t="s">
        <v>76</v>
      </c>
      <c r="BR45" s="45" t="s">
        <v>76</v>
      </c>
      <c r="CM45" s="45" t="s">
        <v>76</v>
      </c>
      <c r="DK45" s="45" t="s">
        <v>70</v>
      </c>
      <c r="EE45" s="45" t="s">
        <v>30</v>
      </c>
      <c r="EF45" s="45" t="s">
        <v>79</v>
      </c>
      <c r="EG45" s="5" t="s">
        <v>30</v>
      </c>
      <c r="EH45" s="5" t="s">
        <v>40</v>
      </c>
      <c r="EI45" s="5" t="s">
        <v>41</v>
      </c>
      <c r="EJ45" s="5" t="s">
        <v>31</v>
      </c>
      <c r="EK45" s="5" t="s">
        <v>35</v>
      </c>
      <c r="EL45" s="5" t="s">
        <v>36</v>
      </c>
      <c r="EM45" s="5" t="s">
        <v>37</v>
      </c>
      <c r="EN45" s="5" t="s">
        <v>38</v>
      </c>
      <c r="EO45" s="5"/>
      <c r="EP45" s="5" t="s">
        <v>3</v>
      </c>
      <c r="EQ45" s="5" t="s">
        <v>4</v>
      </c>
      <c r="ER45" s="5"/>
      <c r="ES45" s="5" t="s">
        <v>3</v>
      </c>
      <c r="ET45" s="5" t="s">
        <v>4</v>
      </c>
      <c r="EU45" s="5" t="s">
        <v>3</v>
      </c>
      <c r="EV45" s="5" t="s">
        <v>4</v>
      </c>
      <c r="EW45" s="5" t="s">
        <v>3</v>
      </c>
      <c r="EX45" s="5" t="s">
        <v>4</v>
      </c>
      <c r="EZ45" s="45" t="s">
        <v>92</v>
      </c>
      <c r="FA45" s="45" t="s">
        <v>93</v>
      </c>
    </row>
    <row r="46" spans="1:157">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EE46" s="6">
        <f>EF46*((1+$E$16/100)*(1+$E$13/100))/((1+$F$16/100)*(1+$F$13/100))</f>
        <v>0.36635681209236431</v>
      </c>
      <c r="EF46" s="6">
        <f>(($EJ46/($EI46^(1/($L$18-$M$18))*$EH46^(1/($M$18-$L$18))))^($L$18-$M$18))/((1+$E$16/100)*(1+$E$10/100))*((1+$F$16/100)*(1+$F$10/100))</f>
        <v>0.36635681209236431</v>
      </c>
      <c r="EG46" s="6">
        <f>EF46*((1+$E$16/100)*(1+$E$10/100))/((1+$F$16/100)*(1+$F$10/100))</f>
        <v>0.36635681209236431</v>
      </c>
      <c r="EH46" s="6">
        <f t="shared" ref="EH46:EH81" si="43">(1/$L$20)*(($L$18/$L$17)^$L$17+($L$18/$L$17)^(-$L$18))</f>
        <v>1.0000000000000004</v>
      </c>
      <c r="EI46" s="6">
        <f t="shared" ref="EI46:EI81" si="44">(1/$M$20)*(($M$18/$M$17)^$M$17+($M$18/$M$17)^(-$M$18))</f>
        <v>1.0000000000000002</v>
      </c>
      <c r="EJ46" s="6">
        <f>-($M$18*$L$18*$L$4)/(EL46*($M$18-$L$18)+$L$5*($L$18*$M$18-$M$18))</f>
        <v>4.1975308641975388</v>
      </c>
      <c r="EK46" s="6">
        <v>0</v>
      </c>
      <c r="EL46" s="6">
        <f t="shared" ref="EL46:EL80" si="45">$L$5-EK46</f>
        <v>135</v>
      </c>
      <c r="EM46" s="6">
        <v>0</v>
      </c>
      <c r="EN46" s="6">
        <f t="shared" ref="EN46:EN80" si="46">$L$4-EM46</f>
        <v>100</v>
      </c>
      <c r="EO46" s="6"/>
      <c r="EP46" s="6">
        <v>0</v>
      </c>
      <c r="EQ46" s="6">
        <f>$M$20*$L$5^$M$18*$L$4^$M$17</f>
        <v>196.95360184664824</v>
      </c>
      <c r="ER46" s="6">
        <f t="shared" ref="ER46:ER81" si="47">($EF46*EP46+EQ46)/($L$22/((1+$E$16/100)*(1+$E$13/100))+$M$22/((1+$F$16/100)*(1+$F$13/100)))</f>
        <v>196.95360184664824</v>
      </c>
      <c r="ES46" s="46">
        <f t="shared" ref="ES46:ES81" si="48">$L$22*ER46/(EE46*(1+$F$13/100)*(1+$F$16/100))</f>
        <v>403.20036780903331</v>
      </c>
      <c r="ET46" s="47">
        <f t="shared" ref="ET46:ET81" si="49">$M$22*ER46/((EF46/EE46)*(1+$E$16/100)*(1+$E$13/100))</f>
        <v>49.23840046166206</v>
      </c>
      <c r="EU46" s="6">
        <f>EP46-ES46</f>
        <v>-403.20036780903331</v>
      </c>
      <c r="EV46" s="6">
        <f>ET46-EQ46</f>
        <v>-147.71520138498619</v>
      </c>
      <c r="EW46" s="6">
        <v>0</v>
      </c>
      <c r="EX46" s="6">
        <v>0</v>
      </c>
    </row>
    <row r="47" spans="1:157">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EE47" s="6">
        <f t="shared" ref="EE47:EE80" si="50">EF47*((1+$E$16/100)*(1+$E$13/100))/((1+$F$16/100)*(1+$F$13/100))</f>
        <v>0.47460156711343698</v>
      </c>
      <c r="EF47" s="6">
        <f>$EF46+($EF$81-$EF$46)/35</f>
        <v>0.47460156711343698</v>
      </c>
      <c r="EG47" s="6">
        <f t="shared" ref="EG47:EG80" si="51">EF47*((1+$E$16/100)*(1+$E$10/100))/((1+$F$16/100)*(1+$F$10/100))</f>
        <v>0.47460156711343698</v>
      </c>
      <c r="EH47" s="6">
        <f t="shared" si="43"/>
        <v>1.0000000000000004</v>
      </c>
      <c r="EI47" s="6">
        <f t="shared" si="44"/>
        <v>1.0000000000000002</v>
      </c>
      <c r="EJ47" s="6">
        <f t="shared" ref="EJ47:EJ80" si="52">EG47^(1/($L$18-$M$18))*EI47^(1/($L$18-$M$18))*EH47^(1/($M$18-$L$18))</f>
        <v>2.8999259147475787</v>
      </c>
      <c r="EK47" s="6">
        <f t="shared" ref="EK47:EK80" si="53">-($L$4*$M$18-EJ47*$L$5+EJ47*$L$5*$M$18)*($L$18/(EJ47*($L$18-$M$18)))</f>
        <v>1.9416629201800588</v>
      </c>
      <c r="EL47" s="6">
        <f t="shared" si="45"/>
        <v>133.05833707981995</v>
      </c>
      <c r="EM47" s="6">
        <f t="shared" ref="EM47:EM80" si="54">EJ47*(1/$L$18-1)*EK47</f>
        <v>31.907178846296127</v>
      </c>
      <c r="EN47" s="6">
        <f t="shared" si="46"/>
        <v>68.092821153703881</v>
      </c>
      <c r="EO47" s="6"/>
      <c r="EP47" s="6">
        <f t="shared" ref="EP47:EP80" si="55">$L$20*EK47^$L$18*EM47^$L$17</f>
        <v>31.99716092179667</v>
      </c>
      <c r="EQ47" s="6">
        <f t="shared" ref="EQ47:EQ80" si="56">$M$20*EL47^$M$18*EN47^$M$17</f>
        <v>183.64588489965331</v>
      </c>
      <c r="ER47" s="6">
        <f t="shared" si="47"/>
        <v>198.83178761631885</v>
      </c>
      <c r="ES47" s="46">
        <f t="shared" si="48"/>
        <v>314.20848780424757</v>
      </c>
      <c r="ET47" s="47">
        <f t="shared" si="49"/>
        <v>49.707946904079712</v>
      </c>
      <c r="EU47" s="6">
        <f t="shared" ref="EU47:EU81" si="57">EP47-ES47</f>
        <v>-282.21132688245092</v>
      </c>
      <c r="EV47" s="6">
        <f t="shared" ref="EV47:EV81" si="58">ET47-EQ47</f>
        <v>-133.93793799557361</v>
      </c>
      <c r="EW47" s="6">
        <f>$E$15</f>
        <v>-102.55355282536165</v>
      </c>
      <c r="EX47" s="6">
        <f>-$F$15</f>
        <v>-92.298197542825477</v>
      </c>
      <c r="EZ47" s="48">
        <f>EP47/EQ47</f>
        <v>0.1742329317059316</v>
      </c>
      <c r="FA47" s="3">
        <f>ES47/ET47</f>
        <v>6.3210916437681179</v>
      </c>
    </row>
    <row r="48" spans="1:157">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EE48" s="6">
        <f t="shared" si="50"/>
        <v>0.5828463221345096</v>
      </c>
      <c r="EF48" s="6">
        <f t="shared" ref="EF48:EF80" si="59">$EF47+($EF$81-$EF$46)/35</f>
        <v>0.5828463221345096</v>
      </c>
      <c r="EG48" s="6">
        <f t="shared" si="51"/>
        <v>0.5828463221345096</v>
      </c>
      <c r="EH48" s="6">
        <f t="shared" si="43"/>
        <v>1.0000000000000004</v>
      </c>
      <c r="EI48" s="6">
        <f t="shared" si="44"/>
        <v>1.0000000000000002</v>
      </c>
      <c r="EJ48" s="6">
        <f t="shared" si="52"/>
        <v>2.162333969315541</v>
      </c>
      <c r="EK48" s="6">
        <f t="shared" si="53"/>
        <v>4.0841520953932458</v>
      </c>
      <c r="EL48" s="6">
        <f t="shared" si="45"/>
        <v>130.91584790460675</v>
      </c>
      <c r="EM48" s="6">
        <f t="shared" si="54"/>
        <v>50.04403793308034</v>
      </c>
      <c r="EN48" s="6">
        <f t="shared" si="46"/>
        <v>49.95596206691966</v>
      </c>
      <c r="EO48" s="6"/>
      <c r="EP48" s="6">
        <f t="shared" si="55"/>
        <v>52.443902735238304</v>
      </c>
      <c r="EQ48" s="6">
        <f t="shared" si="56"/>
        <v>172.90665645624259</v>
      </c>
      <c r="ER48" s="6">
        <f t="shared" si="47"/>
        <v>203.47339228385619</v>
      </c>
      <c r="ES48" s="46">
        <f t="shared" si="48"/>
        <v>261.8272405906576</v>
      </c>
      <c r="ET48" s="47">
        <f t="shared" si="49"/>
        <v>50.868348070964046</v>
      </c>
      <c r="EU48" s="6">
        <f t="shared" si="57"/>
        <v>-209.38333785541928</v>
      </c>
      <c r="EV48" s="6">
        <f t="shared" si="58"/>
        <v>-122.03830838527854</v>
      </c>
      <c r="EW48" s="6"/>
      <c r="EX48" s="6"/>
      <c r="EZ48" s="48">
        <f t="shared" ref="EZ48:EZ80" si="60">EP48/EQ48</f>
        <v>0.30330759850480515</v>
      </c>
      <c r="FA48" s="3">
        <f t="shared" ref="FA48:FA80" si="61">ES48/ET48</f>
        <v>5.1471543802718873</v>
      </c>
    </row>
    <row r="49" spans="1:157">
      <c r="A49" s="58"/>
      <c r="B49" s="58"/>
      <c r="C49" s="80"/>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EE49" s="6">
        <f t="shared" si="50"/>
        <v>0.69109107715558227</v>
      </c>
      <c r="EF49" s="6">
        <f t="shared" si="59"/>
        <v>0.69109107715558227</v>
      </c>
      <c r="EG49" s="6">
        <f t="shared" si="51"/>
        <v>0.69109107715558227</v>
      </c>
      <c r="EH49" s="6">
        <f t="shared" si="43"/>
        <v>1.0000000000000004</v>
      </c>
      <c r="EI49" s="6">
        <f t="shared" si="44"/>
        <v>1.0000000000000002</v>
      </c>
      <c r="EJ49" s="6">
        <f t="shared" si="52"/>
        <v>1.6952560623134028</v>
      </c>
      <c r="EK49" s="6">
        <f t="shared" si="53"/>
        <v>6.4049824344622062</v>
      </c>
      <c r="EL49" s="6">
        <f t="shared" si="45"/>
        <v>128.5950175655378</v>
      </c>
      <c r="EM49" s="6">
        <f t="shared" si="54"/>
        <v>61.52915003918649</v>
      </c>
      <c r="EN49" s="6">
        <f t="shared" si="46"/>
        <v>38.47084996081351</v>
      </c>
      <c r="EO49" s="6"/>
      <c r="EP49" s="6">
        <f t="shared" si="55"/>
        <v>66.876986309343735</v>
      </c>
      <c r="EQ49" s="6">
        <f t="shared" si="56"/>
        <v>163.75347025496029</v>
      </c>
      <c r="ER49" s="6">
        <f t="shared" si="47"/>
        <v>209.97155876040378</v>
      </c>
      <c r="ES49" s="46">
        <f t="shared" si="48"/>
        <v>227.86963147962965</v>
      </c>
      <c r="ET49" s="47">
        <f t="shared" si="49"/>
        <v>52.492889690100945</v>
      </c>
      <c r="EU49" s="6">
        <f t="shared" si="57"/>
        <v>-160.99264517028593</v>
      </c>
      <c r="EV49" s="6">
        <f t="shared" si="58"/>
        <v>-111.26058056485934</v>
      </c>
      <c r="EW49" s="6"/>
      <c r="EX49" s="6"/>
      <c r="EZ49" s="48">
        <f t="shared" si="60"/>
        <v>0.40840042171453128</v>
      </c>
      <c r="FA49" s="3">
        <f t="shared" si="61"/>
        <v>4.3409618488311397</v>
      </c>
    </row>
    <row r="50" spans="1:157">
      <c r="A50" s="58"/>
      <c r="B50" s="58"/>
      <c r="C50" s="80"/>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G50" s="45" t="s">
        <v>90</v>
      </c>
      <c r="EE50" s="6">
        <f t="shared" si="50"/>
        <v>0.79933583217665494</v>
      </c>
      <c r="EF50" s="6">
        <f t="shared" si="59"/>
        <v>0.79933583217665494</v>
      </c>
      <c r="EG50" s="6">
        <f t="shared" si="51"/>
        <v>0.79933583217665494</v>
      </c>
      <c r="EH50" s="6">
        <f t="shared" si="43"/>
        <v>1.0000000000000004</v>
      </c>
      <c r="EI50" s="6">
        <f t="shared" si="44"/>
        <v>1.0000000000000002</v>
      </c>
      <c r="EJ50" s="6">
        <f t="shared" si="52"/>
        <v>1.3770768231746029</v>
      </c>
      <c r="EK50" s="6">
        <f t="shared" si="53"/>
        <v>8.8874895881233105</v>
      </c>
      <c r="EL50" s="6">
        <f t="shared" si="45"/>
        <v>126.11251041187668</v>
      </c>
      <c r="EM50" s="6">
        <f t="shared" si="54"/>
        <v>69.352950258724505</v>
      </c>
      <c r="EN50" s="6">
        <f t="shared" si="46"/>
        <v>30.647049741275495</v>
      </c>
      <c r="EO50" s="6"/>
      <c r="EP50" s="6">
        <f t="shared" si="55"/>
        <v>77.768243425970255</v>
      </c>
      <c r="EQ50" s="6">
        <f t="shared" si="56"/>
        <v>155.66213061508674</v>
      </c>
      <c r="ER50" s="6">
        <f t="shared" si="47"/>
        <v>217.82507419090135</v>
      </c>
      <c r="ES50" s="46">
        <f t="shared" si="48"/>
        <v>204.38068589807838</v>
      </c>
      <c r="ET50" s="47">
        <f t="shared" si="49"/>
        <v>54.456268547725337</v>
      </c>
      <c r="EU50" s="6">
        <f t="shared" si="57"/>
        <v>-126.61244247210813</v>
      </c>
      <c r="EV50" s="6">
        <f t="shared" si="58"/>
        <v>-101.20586206736141</v>
      </c>
      <c r="EW50" s="6"/>
      <c r="EX50" s="6"/>
      <c r="EZ50" s="48">
        <f t="shared" si="60"/>
        <v>0.49959642154887074</v>
      </c>
      <c r="FA50" s="3">
        <f t="shared" si="61"/>
        <v>3.753115873500581</v>
      </c>
    </row>
    <row r="51" spans="1:157">
      <c r="A51" s="58"/>
      <c r="B51" s="58"/>
      <c r="C51" s="80"/>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G51" s="45" t="s">
        <v>1</v>
      </c>
      <c r="AH51" s="45"/>
      <c r="AJ51" s="45" t="s">
        <v>0</v>
      </c>
      <c r="EE51" s="6">
        <f t="shared" si="50"/>
        <v>0.90758058719772761</v>
      </c>
      <c r="EF51" s="6">
        <f t="shared" si="59"/>
        <v>0.90758058719772761</v>
      </c>
      <c r="EG51" s="6">
        <f t="shared" si="51"/>
        <v>0.90758058719772761</v>
      </c>
      <c r="EH51" s="6">
        <f t="shared" si="43"/>
        <v>1.0000000000000004</v>
      </c>
      <c r="EI51" s="6">
        <f t="shared" si="44"/>
        <v>1.0000000000000002</v>
      </c>
      <c r="EJ51" s="6">
        <f t="shared" si="52"/>
        <v>1.148587281544321</v>
      </c>
      <c r="EK51" s="6">
        <f t="shared" si="53"/>
        <v>11.518704363574006</v>
      </c>
      <c r="EL51" s="6">
        <f t="shared" si="45"/>
        <v>123.481295636426</v>
      </c>
      <c r="EM51" s="6">
        <f t="shared" si="54"/>
        <v>74.971344880597655</v>
      </c>
      <c r="EN51" s="6">
        <f t="shared" si="46"/>
        <v>25.028655119402345</v>
      </c>
      <c r="EO51" s="6"/>
      <c r="EP51" s="6">
        <f t="shared" si="55"/>
        <v>86.387672938809786</v>
      </c>
      <c r="EQ51" s="6">
        <f t="shared" si="56"/>
        <v>148.32243697673326</v>
      </c>
      <c r="ER51" s="6">
        <f t="shared" si="47"/>
        <v>226.72621190918349</v>
      </c>
      <c r="ES51" s="46">
        <f t="shared" si="48"/>
        <v>187.36039678517417</v>
      </c>
      <c r="ET51" s="47">
        <f t="shared" si="49"/>
        <v>56.681552977295873</v>
      </c>
      <c r="EU51" s="6">
        <f t="shared" si="57"/>
        <v>-100.97272384636439</v>
      </c>
      <c r="EV51" s="6">
        <f t="shared" si="58"/>
        <v>-91.640883999437392</v>
      </c>
      <c r="EW51" s="6"/>
      <c r="EX51" s="6"/>
      <c r="EZ51" s="48">
        <f t="shared" si="60"/>
        <v>0.58243159092889685</v>
      </c>
      <c r="FA51" s="3">
        <f t="shared" si="61"/>
        <v>3.3054915919509558</v>
      </c>
    </row>
    <row r="52" spans="1:157">
      <c r="A52" s="58"/>
      <c r="B52" s="58"/>
      <c r="C52" s="80"/>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G52" s="45" t="s">
        <v>3</v>
      </c>
      <c r="AH52" s="45" t="s">
        <v>4</v>
      </c>
      <c r="AJ52" s="45" t="s">
        <v>3</v>
      </c>
      <c r="AK52" s="45" t="s">
        <v>4</v>
      </c>
      <c r="EE52" s="46">
        <f t="shared" si="50"/>
        <v>1.0158253422188002</v>
      </c>
      <c r="EF52" s="6">
        <f t="shared" si="59"/>
        <v>1.0158253422188002</v>
      </c>
      <c r="EG52" s="46">
        <f t="shared" si="51"/>
        <v>1.0158253422188002</v>
      </c>
      <c r="EH52" s="46">
        <f t="shared" si="43"/>
        <v>1.0000000000000004</v>
      </c>
      <c r="EI52" s="46">
        <f t="shared" si="44"/>
        <v>1.0000000000000002</v>
      </c>
      <c r="EJ52" s="46">
        <f t="shared" si="52"/>
        <v>0.97781908554700137</v>
      </c>
      <c r="EK52" s="46">
        <f t="shared" si="53"/>
        <v>14.288174092449873</v>
      </c>
      <c r="EL52" s="46">
        <f t="shared" si="45"/>
        <v>120.71182590755012</v>
      </c>
      <c r="EM52" s="46">
        <f t="shared" si="54"/>
        <v>79.170412842888908</v>
      </c>
      <c r="EN52" s="46">
        <f t="shared" si="46"/>
        <v>20.829587157111092</v>
      </c>
      <c r="EO52" s="46"/>
      <c r="EP52" s="46">
        <f t="shared" si="55"/>
        <v>93.455573610952683</v>
      </c>
      <c r="EQ52" s="46">
        <f t="shared" si="56"/>
        <v>141.53689695674765</v>
      </c>
      <c r="ER52" s="46">
        <f t="shared" si="47"/>
        <v>236.47143700234795</v>
      </c>
      <c r="ES52" s="46">
        <f t="shared" si="48"/>
        <v>174.59062141960277</v>
      </c>
      <c r="ET52" s="47">
        <f t="shared" si="49"/>
        <v>59.117859250586989</v>
      </c>
      <c r="EU52" s="46">
        <f t="shared" si="57"/>
        <v>-81.135047808650086</v>
      </c>
      <c r="EV52" s="46">
        <f t="shared" si="58"/>
        <v>-82.419037706160665</v>
      </c>
      <c r="EW52" s="6"/>
      <c r="EX52" s="6"/>
      <c r="EZ52" s="48">
        <f t="shared" si="60"/>
        <v>0.66029124292241503</v>
      </c>
      <c r="FA52" s="3">
        <f t="shared" si="61"/>
        <v>2.9532635929787872</v>
      </c>
    </row>
    <row r="53" spans="1:157">
      <c r="A53" s="58"/>
      <c r="B53" s="58"/>
      <c r="C53" s="80"/>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G53" s="52">
        <f>I4/(E18*(1+E16/100)*(1+E13/100))</f>
        <v>0.97767570554723859</v>
      </c>
      <c r="AH53" s="2">
        <v>0</v>
      </c>
      <c r="AJ53" s="52">
        <f>I5/(E18*(1+E16/100)*(1+E13/100))</f>
        <v>1.1364822760827273</v>
      </c>
      <c r="AK53" s="2">
        <v>0</v>
      </c>
      <c r="EE53" s="47">
        <f t="shared" si="50"/>
        <v>1.1240700972398727</v>
      </c>
      <c r="EF53" s="6">
        <f t="shared" si="59"/>
        <v>1.1240700972398727</v>
      </c>
      <c r="EG53" s="47">
        <f t="shared" si="51"/>
        <v>1.1240700972398727</v>
      </c>
      <c r="EH53" s="47">
        <f t="shared" si="43"/>
        <v>1.0000000000000004</v>
      </c>
      <c r="EI53" s="47">
        <f t="shared" si="44"/>
        <v>1.0000000000000002</v>
      </c>
      <c r="EJ53" s="47">
        <f t="shared" si="52"/>
        <v>0.8461317807375428</v>
      </c>
      <c r="EK53" s="47">
        <f t="shared" si="53"/>
        <v>17.187249665828453</v>
      </c>
      <c r="EL53" s="47">
        <f t="shared" si="45"/>
        <v>117.81275033417154</v>
      </c>
      <c r="EM53" s="47">
        <f t="shared" si="54"/>
        <v>82.408509605792943</v>
      </c>
      <c r="EN53" s="47">
        <f t="shared" si="46"/>
        <v>17.591490394207057</v>
      </c>
      <c r="EO53" s="47"/>
      <c r="EP53" s="47">
        <f t="shared" si="55"/>
        <v>99.41168452854572</v>
      </c>
      <c r="EQ53" s="47">
        <f t="shared" si="56"/>
        <v>135.17272534495061</v>
      </c>
      <c r="ER53" s="47">
        <f t="shared" si="47"/>
        <v>246.91842723973255</v>
      </c>
      <c r="ES53" s="47">
        <f t="shared" si="48"/>
        <v>164.74846264883848</v>
      </c>
      <c r="ET53" s="47">
        <f t="shared" si="49"/>
        <v>61.729606809933138</v>
      </c>
      <c r="EU53" s="47">
        <f t="shared" si="57"/>
        <v>-65.336778120292763</v>
      </c>
      <c r="EV53" s="47">
        <f t="shared" si="58"/>
        <v>-73.443118535017476</v>
      </c>
      <c r="EW53" s="6"/>
      <c r="EX53" s="6"/>
      <c r="EZ53" s="48">
        <f t="shared" si="60"/>
        <v>0.73544188944074773</v>
      </c>
      <c r="FA53" s="3">
        <f t="shared" si="61"/>
        <v>2.6688727040835163</v>
      </c>
    </row>
    <row r="54" spans="1:157">
      <c r="A54" s="58"/>
      <c r="B54" s="58"/>
      <c r="C54" s="80"/>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G54" s="2">
        <v>0</v>
      </c>
      <c r="AH54" s="52">
        <f>I4/(F18*(1+F16/100)*(1+F13/100))</f>
        <v>0.87990813499251475</v>
      </c>
      <c r="AJ54" s="2">
        <v>0</v>
      </c>
      <c r="AK54" s="52">
        <f>I5/(F18*(1+F16/100)*(1+F13/100))</f>
        <v>1.0228340484744547</v>
      </c>
      <c r="EE54" s="6">
        <f t="shared" si="50"/>
        <v>1.2323148522609453</v>
      </c>
      <c r="EF54" s="6">
        <f t="shared" si="59"/>
        <v>1.2323148522609453</v>
      </c>
      <c r="EG54" s="6">
        <f t="shared" si="51"/>
        <v>1.2323148522609453</v>
      </c>
      <c r="EH54" s="6">
        <f t="shared" si="43"/>
        <v>1.0000000000000004</v>
      </c>
      <c r="EI54" s="6">
        <f t="shared" si="44"/>
        <v>1.0000000000000002</v>
      </c>
      <c r="EJ54" s="6">
        <f t="shared" si="52"/>
        <v>0.74198922063011863</v>
      </c>
      <c r="EK54" s="6">
        <f t="shared" si="53"/>
        <v>20.208625775341609</v>
      </c>
      <c r="EL54" s="6">
        <f t="shared" si="45"/>
        <v>114.7913742246584</v>
      </c>
      <c r="EM54" s="6">
        <f t="shared" si="54"/>
        <v>84.969300771291529</v>
      </c>
      <c r="EN54" s="6">
        <f t="shared" si="46"/>
        <v>15.030699228708471</v>
      </c>
      <c r="EO54" s="6"/>
      <c r="EP54" s="6">
        <f t="shared" si="55"/>
        <v>104.5402367390468</v>
      </c>
      <c r="EQ54" s="6">
        <f t="shared" si="56"/>
        <v>129.1367846400104</v>
      </c>
      <c r="ER54" s="6">
        <f t="shared" si="47"/>
        <v>257.9632710324131</v>
      </c>
      <c r="ES54" s="46">
        <f t="shared" si="48"/>
        <v>156.99920594103301</v>
      </c>
      <c r="ET54" s="47">
        <f t="shared" si="49"/>
        <v>64.490817758103276</v>
      </c>
      <c r="EU54" s="6">
        <f t="shared" si="57"/>
        <v>-52.458969201986207</v>
      </c>
      <c r="EV54" s="6">
        <f t="shared" si="58"/>
        <v>-64.645966881907128</v>
      </c>
      <c r="EW54" s="6"/>
      <c r="EX54" s="6"/>
      <c r="EZ54" s="48">
        <f t="shared" si="60"/>
        <v>0.80953104903819284</v>
      </c>
      <c r="FA54" s="3">
        <f t="shared" si="61"/>
        <v>2.4344427842412659</v>
      </c>
    </row>
    <row r="55" spans="1:157">
      <c r="A55" s="58"/>
      <c r="B55" s="58"/>
      <c r="C55" s="60"/>
      <c r="D55" s="60"/>
      <c r="E55" s="60"/>
      <c r="F55" s="90" t="s">
        <v>105</v>
      </c>
      <c r="G55" s="92"/>
      <c r="H55" s="92"/>
      <c r="I55" s="92"/>
      <c r="J55" s="92"/>
      <c r="K55" s="92"/>
      <c r="L55" s="92"/>
      <c r="M55" s="92"/>
      <c r="N55" s="92"/>
      <c r="O55" s="58"/>
      <c r="P55" s="60"/>
      <c r="Q55" s="60"/>
      <c r="R55" s="65" t="s">
        <v>106</v>
      </c>
      <c r="S55" s="60"/>
      <c r="T55" s="60"/>
      <c r="U55" s="60"/>
      <c r="V55" s="60"/>
      <c r="W55" s="76" t="s">
        <v>108</v>
      </c>
      <c r="X55" s="60"/>
      <c r="Y55" s="60"/>
      <c r="Z55" s="60"/>
      <c r="AA55" s="60"/>
      <c r="AB55" s="76" t="s">
        <v>107</v>
      </c>
      <c r="AC55" s="60"/>
      <c r="AD55" s="60"/>
      <c r="AE55" s="58"/>
      <c r="EE55" s="6">
        <f t="shared" si="50"/>
        <v>1.3405596072820178</v>
      </c>
      <c r="EF55" s="6">
        <f t="shared" si="59"/>
        <v>1.3405596072820178</v>
      </c>
      <c r="EG55" s="6">
        <f t="shared" si="51"/>
        <v>1.3405596072820178</v>
      </c>
      <c r="EH55" s="6">
        <f t="shared" si="43"/>
        <v>1.0000000000000004</v>
      </c>
      <c r="EI55" s="6">
        <f t="shared" si="44"/>
        <v>1.0000000000000002</v>
      </c>
      <c r="EJ55" s="6">
        <f t="shared" si="52"/>
        <v>0.65790422021979222</v>
      </c>
      <c r="EK55" s="6">
        <f t="shared" si="53"/>
        <v>23.346029494971798</v>
      </c>
      <c r="EL55" s="6">
        <f t="shared" si="45"/>
        <v>111.6539705050282</v>
      </c>
      <c r="EM55" s="6">
        <f t="shared" si="54"/>
        <v>87.036890870666895</v>
      </c>
      <c r="EN55" s="6">
        <f t="shared" si="46"/>
        <v>12.963109129333105</v>
      </c>
      <c r="EO55" s="6"/>
      <c r="EP55" s="6">
        <f t="shared" si="55"/>
        <v>109.0335223351389</v>
      </c>
      <c r="EQ55" s="6">
        <f t="shared" si="56"/>
        <v>123.36150146954115</v>
      </c>
      <c r="ER55" s="6">
        <f t="shared" si="47"/>
        <v>269.52743735171009</v>
      </c>
      <c r="ES55" s="46">
        <f t="shared" si="48"/>
        <v>150.79193563323332</v>
      </c>
      <c r="ET55" s="47">
        <f t="shared" si="49"/>
        <v>67.381859337927523</v>
      </c>
      <c r="EU55" s="6">
        <f t="shared" si="57"/>
        <v>-41.758413298094425</v>
      </c>
      <c r="EV55" s="6">
        <f t="shared" si="58"/>
        <v>-55.97964213161363</v>
      </c>
      <c r="EW55" s="6"/>
      <c r="EX55" s="6"/>
      <c r="EZ55" s="48">
        <f t="shared" si="60"/>
        <v>0.88385372288987629</v>
      </c>
      <c r="FA55" s="3">
        <f t="shared" si="61"/>
        <v>2.237871396172002</v>
      </c>
    </row>
    <row r="56" spans="1:157">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EE56" s="6">
        <f t="shared" si="50"/>
        <v>1.4488043623030904</v>
      </c>
      <c r="EF56" s="6">
        <f t="shared" si="59"/>
        <v>1.4488043623030904</v>
      </c>
      <c r="EG56" s="6">
        <f t="shared" si="51"/>
        <v>1.4488043623030904</v>
      </c>
      <c r="EH56" s="6">
        <f t="shared" si="43"/>
        <v>1.0000000000000004</v>
      </c>
      <c r="EI56" s="6">
        <f t="shared" si="44"/>
        <v>1.0000000000000002</v>
      </c>
      <c r="EJ56" s="6">
        <f t="shared" si="52"/>
        <v>0.58882478020136708</v>
      </c>
      <c r="EK56" s="6">
        <f t="shared" si="53"/>
        <v>26.594000938590497</v>
      </c>
      <c r="EL56" s="6">
        <f t="shared" si="45"/>
        <v>108.4059990614095</v>
      </c>
      <c r="EM56" s="6">
        <f t="shared" si="54"/>
        <v>88.735504958262823</v>
      </c>
      <c r="EN56" s="6">
        <f t="shared" si="46"/>
        <v>11.264495041737177</v>
      </c>
      <c r="EO56" s="6"/>
      <c r="EP56" s="6">
        <f t="shared" si="55"/>
        <v>113.02658020190623</v>
      </c>
      <c r="EQ56" s="6">
        <f t="shared" si="56"/>
        <v>117.79647708729522</v>
      </c>
      <c r="ER56" s="6">
        <f t="shared" si="47"/>
        <v>281.54987954001706</v>
      </c>
      <c r="ES56" s="46">
        <f t="shared" si="48"/>
        <v>145.74942977072396</v>
      </c>
      <c r="ET56" s="47">
        <f t="shared" si="49"/>
        <v>70.387469885004265</v>
      </c>
      <c r="EU56" s="6">
        <f t="shared" si="57"/>
        <v>-32.722849568817736</v>
      </c>
      <c r="EV56" s="6">
        <f t="shared" si="58"/>
        <v>-47.409007202290951</v>
      </c>
      <c r="EW56" s="6"/>
      <c r="EX56" s="6"/>
      <c r="EZ56" s="48">
        <f t="shared" si="60"/>
        <v>0.95950730443445975</v>
      </c>
      <c r="FA56" s="3">
        <f t="shared" si="61"/>
        <v>2.0706729480238817</v>
      </c>
    </row>
    <row r="57" spans="1:157" ht="15.75" customHeight="1">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EE57" s="6">
        <f t="shared" si="50"/>
        <v>1.557049117324163</v>
      </c>
      <c r="EF57" s="6">
        <f t="shared" si="59"/>
        <v>1.557049117324163</v>
      </c>
      <c r="EG57" s="6">
        <f t="shared" si="51"/>
        <v>1.557049117324163</v>
      </c>
      <c r="EH57" s="6">
        <f t="shared" si="43"/>
        <v>1.0000000000000004</v>
      </c>
      <c r="EI57" s="6">
        <f t="shared" si="44"/>
        <v>1.0000000000000002</v>
      </c>
      <c r="EJ57" s="6">
        <f t="shared" si="52"/>
        <v>0.53122977693927753</v>
      </c>
      <c r="EK57" s="6">
        <f t="shared" si="53"/>
        <v>29.947733773267807</v>
      </c>
      <c r="EL57" s="6">
        <f t="shared" si="45"/>
        <v>105.0522662267322</v>
      </c>
      <c r="EM57" s="6">
        <f t="shared" si="54"/>
        <v>90.151724949189571</v>
      </c>
      <c r="EN57" s="6">
        <f t="shared" si="46"/>
        <v>9.8482750508104289</v>
      </c>
      <c r="EO57" s="6"/>
      <c r="EP57" s="6">
        <f t="shared" si="55"/>
        <v>116.61723862767549</v>
      </c>
      <c r="EQ57" s="6">
        <f t="shared" si="56"/>
        <v>112.40324817927458</v>
      </c>
      <c r="ER57" s="6">
        <f t="shared" si="47"/>
        <v>293.98201664927797</v>
      </c>
      <c r="ES57" s="46">
        <f t="shared" si="48"/>
        <v>141.60536750816914</v>
      </c>
      <c r="ET57" s="47">
        <f t="shared" si="49"/>
        <v>73.495504162319492</v>
      </c>
      <c r="EU57" s="6">
        <f t="shared" si="57"/>
        <v>-24.988128880493647</v>
      </c>
      <c r="EV57" s="6">
        <f t="shared" si="58"/>
        <v>-38.907744016955093</v>
      </c>
      <c r="EW57" s="6"/>
      <c r="EX57" s="6"/>
      <c r="EZ57" s="48">
        <f t="shared" si="60"/>
        <v>1.0374899348253701</v>
      </c>
      <c r="FA57" s="3">
        <f t="shared" si="61"/>
        <v>1.9267214929966965</v>
      </c>
    </row>
    <row r="58" spans="1:157">
      <c r="A58" s="58"/>
      <c r="B58" s="58"/>
      <c r="C58" s="58"/>
      <c r="D58" s="58"/>
      <c r="E58" s="59"/>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G58" s="45" t="s">
        <v>94</v>
      </c>
      <c r="AM58" s="45" t="s">
        <v>109</v>
      </c>
      <c r="AT58" s="45" t="s">
        <v>97</v>
      </c>
      <c r="BD58" s="45" t="s">
        <v>102</v>
      </c>
      <c r="EE58" s="6">
        <f t="shared" si="50"/>
        <v>1.6652938723452355</v>
      </c>
      <c r="EF58" s="6">
        <f t="shared" si="59"/>
        <v>1.6652938723452355</v>
      </c>
      <c r="EG58" s="6">
        <f t="shared" si="51"/>
        <v>1.6652938723452355</v>
      </c>
      <c r="EH58" s="6">
        <f t="shared" si="43"/>
        <v>1.0000000000000004</v>
      </c>
      <c r="EI58" s="6">
        <f t="shared" si="44"/>
        <v>1.0000000000000002</v>
      </c>
      <c r="EJ58" s="6">
        <f t="shared" si="52"/>
        <v>0.48259681504952345</v>
      </c>
      <c r="EK58" s="6">
        <f t="shared" si="53"/>
        <v>33.402956145343204</v>
      </c>
      <c r="EL58" s="6">
        <f t="shared" si="45"/>
        <v>101.59704385465679</v>
      </c>
      <c r="EM58" s="6">
        <f t="shared" si="54"/>
        <v>91.347574744228694</v>
      </c>
      <c r="EN58" s="6">
        <f t="shared" si="46"/>
        <v>8.6524252557713055</v>
      </c>
      <c r="EO58" s="6"/>
      <c r="EP58" s="6">
        <f t="shared" si="55"/>
        <v>119.87825926838076</v>
      </c>
      <c r="EQ58" s="6">
        <f t="shared" si="56"/>
        <v>107.15188452509608</v>
      </c>
      <c r="ER58" s="6">
        <f t="shared" si="47"/>
        <v>306.78441511214396</v>
      </c>
      <c r="ES58" s="46">
        <f t="shared" si="48"/>
        <v>138.16679155257702</v>
      </c>
      <c r="ET58" s="47">
        <f t="shared" si="49"/>
        <v>76.69610377803599</v>
      </c>
      <c r="EU58" s="6">
        <f t="shared" si="57"/>
        <v>-18.288532284196265</v>
      </c>
      <c r="EV58" s="6">
        <f t="shared" si="58"/>
        <v>-30.455780747060089</v>
      </c>
      <c r="EW58" s="6"/>
      <c r="EX58" s="6"/>
      <c r="EZ58" s="48">
        <f t="shared" si="60"/>
        <v>1.1187694906131496</v>
      </c>
      <c r="FA58" s="3">
        <f t="shared" si="61"/>
        <v>1.8014838400714801</v>
      </c>
    </row>
    <row r="59" spans="1:157">
      <c r="A59" s="58"/>
      <c r="B59" s="58"/>
      <c r="C59" s="58"/>
      <c r="D59" s="58"/>
      <c r="E59" s="58"/>
      <c r="F59" s="58"/>
      <c r="G59" s="58"/>
      <c r="H59" s="58"/>
      <c r="I59" s="58"/>
      <c r="J59" s="58"/>
      <c r="K59" s="58"/>
      <c r="L59" s="58"/>
      <c r="M59" s="58"/>
      <c r="N59" s="58"/>
      <c r="O59" s="60"/>
      <c r="P59" s="58"/>
      <c r="Q59" s="58"/>
      <c r="R59" s="58"/>
      <c r="S59" s="58"/>
      <c r="T59" s="58"/>
      <c r="U59" s="58"/>
      <c r="V59" s="58"/>
      <c r="W59" s="58"/>
      <c r="X59" s="58"/>
      <c r="Y59" s="58"/>
      <c r="Z59" s="58"/>
      <c r="AA59" s="58"/>
      <c r="AB59" s="58"/>
      <c r="AC59" s="58"/>
      <c r="AD59" s="58"/>
      <c r="AE59" s="58"/>
      <c r="AG59" s="45" t="s">
        <v>92</v>
      </c>
      <c r="AJ59" s="45" t="s">
        <v>93</v>
      </c>
      <c r="AM59" s="45" t="s">
        <v>92</v>
      </c>
      <c r="AP59" s="45" t="s">
        <v>93</v>
      </c>
      <c r="AT59" s="45"/>
      <c r="AW59" s="45"/>
      <c r="BD59" s="45"/>
      <c r="BG59" s="45"/>
      <c r="EE59" s="6">
        <f t="shared" si="50"/>
        <v>1.7735386273663081</v>
      </c>
      <c r="EF59" s="6">
        <f t="shared" si="59"/>
        <v>1.7735386273663081</v>
      </c>
      <c r="EG59" s="6">
        <f t="shared" si="51"/>
        <v>1.7735386273663081</v>
      </c>
      <c r="EH59" s="6">
        <f t="shared" si="43"/>
        <v>1.0000000000000004</v>
      </c>
      <c r="EI59" s="6">
        <f t="shared" si="44"/>
        <v>1.0000000000000002</v>
      </c>
      <c r="EJ59" s="6">
        <f t="shared" si="52"/>
        <v>0.44107592605737506</v>
      </c>
      <c r="EK59" s="6">
        <f t="shared" si="53"/>
        <v>36.955839769203962</v>
      </c>
      <c r="EL59" s="6">
        <f t="shared" si="45"/>
        <v>98.044160230796038</v>
      </c>
      <c r="EM59" s="6">
        <f t="shared" si="54"/>
        <v>92.36854374676777</v>
      </c>
      <c r="EN59" s="6">
        <f t="shared" si="46"/>
        <v>7.6314562532322299</v>
      </c>
      <c r="EO59" s="6"/>
      <c r="EP59" s="6">
        <f t="shared" si="55"/>
        <v>122.86499514325952</v>
      </c>
      <c r="EQ59" s="6">
        <f t="shared" si="56"/>
        <v>102.01870549823109</v>
      </c>
      <c r="ER59" s="6">
        <f t="shared" si="47"/>
        <v>319.92452033597567</v>
      </c>
      <c r="ES59" s="46">
        <f t="shared" si="48"/>
        <v>135.29076082672975</v>
      </c>
      <c r="ET59" s="47">
        <f t="shared" si="49"/>
        <v>79.981130083993918</v>
      </c>
      <c r="EU59" s="6">
        <f t="shared" si="57"/>
        <v>-12.425765683470232</v>
      </c>
      <c r="EV59" s="6">
        <f t="shared" si="58"/>
        <v>-22.037575414237168</v>
      </c>
      <c r="EW59" s="6"/>
      <c r="EX59" s="6"/>
      <c r="EZ59" s="48">
        <f t="shared" si="60"/>
        <v>1.2043379157108585</v>
      </c>
      <c r="FA59" s="3">
        <f t="shared" si="61"/>
        <v>1.6915334990222222</v>
      </c>
    </row>
    <row r="60" spans="1:157">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G60" s="45" t="s">
        <v>95</v>
      </c>
      <c r="AH60" s="45" t="s">
        <v>96</v>
      </c>
      <c r="AJ60" s="45" t="s">
        <v>95</v>
      </c>
      <c r="AK60" s="45" t="s">
        <v>96</v>
      </c>
      <c r="AM60" s="45" t="s">
        <v>110</v>
      </c>
      <c r="AN60" s="45" t="s">
        <v>111</v>
      </c>
      <c r="AP60" s="45" t="s">
        <v>110</v>
      </c>
      <c r="AQ60" s="45" t="s">
        <v>111</v>
      </c>
      <c r="AT60" s="5" t="s">
        <v>30</v>
      </c>
      <c r="AU60" s="45" t="s">
        <v>98</v>
      </c>
      <c r="AW60" s="45" t="s">
        <v>99</v>
      </c>
      <c r="AX60" s="45" t="s">
        <v>100</v>
      </c>
      <c r="AZ60" s="45" t="s">
        <v>113</v>
      </c>
      <c r="BD60" s="5" t="s">
        <v>30</v>
      </c>
      <c r="BE60" s="45" t="s">
        <v>101</v>
      </c>
      <c r="BG60" s="45" t="s">
        <v>103</v>
      </c>
      <c r="BH60" s="45" t="s">
        <v>104</v>
      </c>
      <c r="BK60" s="45" t="s">
        <v>113</v>
      </c>
      <c r="EE60" s="6">
        <f t="shared" si="50"/>
        <v>1.8817833823873806</v>
      </c>
      <c r="EF60" s="6">
        <f t="shared" si="59"/>
        <v>1.8817833823873806</v>
      </c>
      <c r="EG60" s="6">
        <f t="shared" si="51"/>
        <v>1.8817833823873806</v>
      </c>
      <c r="EH60" s="6">
        <f t="shared" si="43"/>
        <v>1.0000000000000004</v>
      </c>
      <c r="EI60" s="6">
        <f t="shared" si="44"/>
        <v>1.0000000000000002</v>
      </c>
      <c r="EJ60" s="6">
        <f t="shared" si="52"/>
        <v>0.40528233329592167</v>
      </c>
      <c r="EK60" s="6">
        <f t="shared" si="53"/>
        <v>40.602929176157943</v>
      </c>
      <c r="EL60" s="6">
        <f t="shared" si="45"/>
        <v>94.397070823842057</v>
      </c>
      <c r="EM60" s="6">
        <f t="shared" si="54"/>
        <v>93.24868262591994</v>
      </c>
      <c r="EN60" s="6">
        <f t="shared" si="46"/>
        <v>6.7513173740800596</v>
      </c>
      <c r="EO60" s="6"/>
      <c r="EP60" s="6">
        <f t="shared" si="55"/>
        <v>125.6203873982145</v>
      </c>
      <c r="EQ60" s="6">
        <f t="shared" si="56"/>
        <v>96.984703717477302</v>
      </c>
      <c r="ER60" s="6">
        <f t="shared" si="47"/>
        <v>333.37506121250249</v>
      </c>
      <c r="ES60" s="46">
        <f t="shared" si="48"/>
        <v>132.86932930195567</v>
      </c>
      <c r="ET60" s="47">
        <f t="shared" si="49"/>
        <v>83.343765303125622</v>
      </c>
      <c r="EU60" s="6">
        <f t="shared" si="57"/>
        <v>-7.2489419037411693</v>
      </c>
      <c r="EV60" s="6">
        <f t="shared" si="58"/>
        <v>-13.64093841435168</v>
      </c>
      <c r="EW60" s="6"/>
      <c r="EX60" s="6"/>
      <c r="EZ60" s="48">
        <f t="shared" si="60"/>
        <v>1.2952597944120632</v>
      </c>
      <c r="FA60" s="3">
        <f t="shared" si="61"/>
        <v>1.5942323798151306</v>
      </c>
    </row>
    <row r="61" spans="1:157">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G61" s="2">
        <v>0</v>
      </c>
      <c r="AH61" s="52">
        <f>L5</f>
        <v>135</v>
      </c>
      <c r="AJ61" s="2">
        <f>0.1</f>
        <v>0.1</v>
      </c>
      <c r="AK61" s="57">
        <f>($L$24*($I$4*(1+$E$6/100))^$L$17*$L$18*(AJ61*(1+$E$7/100))^($L$18-1))*$E$9+($M$24*($I$4*(1+$F$6/100))^$M$17*$M$18*(AJ61*(1+$F$7/100))^($M$18-1))*$F$9</f>
        <v>257.0445046213008</v>
      </c>
      <c r="AL61" s="56"/>
      <c r="AM61" s="2">
        <v>0</v>
      </c>
      <c r="AN61" s="52">
        <f>L4</f>
        <v>100</v>
      </c>
      <c r="AP61" s="2">
        <f>0.1</f>
        <v>0.1</v>
      </c>
      <c r="AQ61" s="57">
        <f>($L$24*$L$17*(AP61*(1+$E$6/100))^($L$17-1)*($I$5*(1+$E$7/100))^$L$18)*$E$9+($M$24*$M$17*(AP61*(1+$F$6/100))^($M$17-1)*($I$5*(1+$F$7/100))^$M$18)*$F$9</f>
        <v>264.50825124930134</v>
      </c>
      <c r="AT61" s="6">
        <f t="shared" ref="AT61:AT96" si="62">EG5</f>
        <v>0.36635681209236431</v>
      </c>
      <c r="AU61" s="2">
        <f>AT61*$F$18*(1+$F$10/100)*(1+$F$16/100)</f>
        <v>0.36635681209236431</v>
      </c>
      <c r="AW61" s="3">
        <f t="shared" ref="AW61:AW96" si="63">EP5</f>
        <v>0</v>
      </c>
      <c r="AX61" s="2">
        <f>$L$22*$E$20/AU61</f>
        <v>462.81398881080298</v>
      </c>
      <c r="AZ61" s="45" t="s">
        <v>98</v>
      </c>
      <c r="BA61" s="45" t="s">
        <v>99</v>
      </c>
      <c r="BD61" s="6">
        <f t="shared" ref="BD61:BD96" si="64">EG5</f>
        <v>0.36635681209236431</v>
      </c>
      <c r="BE61" s="2">
        <f>1/(BD61/($E$18*(1+$E$16/100)*(1+$E$10/100)))</f>
        <v>2.4566214419757966</v>
      </c>
      <c r="BG61" s="3">
        <f t="shared" ref="BG61:BG96" si="65">EQ5</f>
        <v>196.95360184664824</v>
      </c>
      <c r="BH61" s="2">
        <f>$M$22*$E$20/BE61</f>
        <v>23.00653716730951</v>
      </c>
      <c r="BK61" s="45" t="s">
        <v>101</v>
      </c>
      <c r="BL61" s="45" t="s">
        <v>103</v>
      </c>
      <c r="EE61" s="6">
        <f t="shared" si="50"/>
        <v>1.9900281374084532</v>
      </c>
      <c r="EF61" s="6">
        <f t="shared" si="59"/>
        <v>1.9900281374084532</v>
      </c>
      <c r="EG61" s="6">
        <f t="shared" si="51"/>
        <v>1.9900281374084532</v>
      </c>
      <c r="EH61" s="6">
        <f t="shared" si="43"/>
        <v>1.0000000000000004</v>
      </c>
      <c r="EI61" s="6">
        <f t="shared" si="44"/>
        <v>1.0000000000000002</v>
      </c>
      <c r="EJ61" s="6">
        <f t="shared" si="52"/>
        <v>0.37416077924646179</v>
      </c>
      <c r="EK61" s="6">
        <f t="shared" si="53"/>
        <v>44.341085731829615</v>
      </c>
      <c r="EL61" s="6">
        <f t="shared" si="45"/>
        <v>90.658914268170378</v>
      </c>
      <c r="EM61" s="6">
        <f t="shared" si="54"/>
        <v>94.013939410314705</v>
      </c>
      <c r="EN61" s="6">
        <f t="shared" si="46"/>
        <v>5.9860605896852945</v>
      </c>
      <c r="EO61" s="6"/>
      <c r="EP61" s="6">
        <f t="shared" si="55"/>
        <v>128.1783232542042</v>
      </c>
      <c r="EQ61" s="6">
        <f t="shared" si="56"/>
        <v>92.034430043131991</v>
      </c>
      <c r="ER61" s="6">
        <f t="shared" si="47"/>
        <v>347.11289992483461</v>
      </c>
      <c r="ES61" s="46">
        <f t="shared" si="48"/>
        <v>130.81959498454682</v>
      </c>
      <c r="ET61" s="47">
        <f t="shared" si="49"/>
        <v>86.778224981208652</v>
      </c>
      <c r="EU61" s="6">
        <f t="shared" si="57"/>
        <v>-2.6412717303426234</v>
      </c>
      <c r="EV61" s="6">
        <f t="shared" si="58"/>
        <v>-5.2562050619233389</v>
      </c>
      <c r="EW61" s="6"/>
      <c r="EX61" s="6"/>
      <c r="EZ61" s="48">
        <f t="shared" si="60"/>
        <v>1.3927214325566351</v>
      </c>
      <c r="FA61" s="3">
        <f t="shared" si="61"/>
        <v>1.5075163730633472</v>
      </c>
    </row>
    <row r="62" spans="1:157">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G62" s="2">
        <f>I5*3</f>
        <v>3.0685021454233641</v>
      </c>
      <c r="AH62" s="52">
        <f>AH61</f>
        <v>135</v>
      </c>
      <c r="AJ62" s="2">
        <f t="shared" ref="AJ62:AJ76" si="66">($AJ$96-$AJ$61)/35+AJ61</f>
        <v>0.18481434701209612</v>
      </c>
      <c r="AK62" s="57">
        <f t="shared" ref="AK62:AK96" si="67">($L$24*($I$4*(1+$E$6/100))^$L$17*$L$18*(AJ62*(1+$E$7/100))^($L$18-1))*$E$9+($M$24*($I$4*(1+$F$6/100))^$M$17*$M$18*(AJ62*(1+$F$7/100))^($M$18-1))*$F$9</f>
        <v>208.36480243253638</v>
      </c>
      <c r="AL62" s="53"/>
      <c r="AM62" s="2">
        <f>I4*3</f>
        <v>2.6397244049775441</v>
      </c>
      <c r="AN62" s="52">
        <f>AN61</f>
        <v>100</v>
      </c>
      <c r="AP62" s="2">
        <f t="shared" ref="AP62:AP76" si="68">($AJ$96-$AJ$61)/35+AP61</f>
        <v>0.18481434701209612</v>
      </c>
      <c r="AQ62" s="57">
        <f t="shared" ref="AQ62:AQ96" si="69">($L$24*$L$17*(AP62*(1+$E$6/100))^($L$17-1)*($I$5*(1+$E$7/100))^$L$18)*$E$9+($M$24*$M$17*(AP62*(1+$F$6/100))^($M$17-1)*($I$5*(1+$F$7/100))^$M$18)*$F$9</f>
        <v>189.89010337954034</v>
      </c>
      <c r="AT62" s="6">
        <f t="shared" si="62"/>
        <v>0.47460156711343698</v>
      </c>
      <c r="AU62" s="2">
        <f t="shared" ref="AU62:AU96" si="70">AT62*$F$18*(1+$F$10/100)*(1+$F$16/100)</f>
        <v>0.47460156711343698</v>
      </c>
      <c r="AW62" s="3">
        <f t="shared" si="63"/>
        <v>31.99716092179667</v>
      </c>
      <c r="AX62" s="2">
        <f t="shared" ref="AX62:AX96" si="71">$L$22*$E$20/AU62</f>
        <v>357.25768577572086</v>
      </c>
      <c r="AZ62" s="2">
        <f>E18*(1+E16/100)*(1+E10/100)</f>
        <v>0.9</v>
      </c>
      <c r="BA62" s="2">
        <v>0</v>
      </c>
      <c r="BD62" s="6">
        <f t="shared" si="64"/>
        <v>0.47460156711343698</v>
      </c>
      <c r="BE62" s="2">
        <f t="shared" ref="BE62:BE96" si="72">1/(BD62/($E$18*(1+$E$16/100)*(1+$E$10/100)))</f>
        <v>1.8963274931304352</v>
      </c>
      <c r="BG62" s="3">
        <f t="shared" si="65"/>
        <v>183.64588489965331</v>
      </c>
      <c r="BH62" s="2">
        <f t="shared" ref="BH62:BH96" si="73">$M$22*$E$20/BE62</f>
        <v>29.804109635897234</v>
      </c>
      <c r="BK62" s="2">
        <f>F18*(1+F16/100)*(1+F10/100)</f>
        <v>1</v>
      </c>
      <c r="BL62" s="2">
        <v>0</v>
      </c>
      <c r="EE62" s="6">
        <f t="shared" si="50"/>
        <v>2.098272892429526</v>
      </c>
      <c r="EF62" s="6">
        <f t="shared" si="59"/>
        <v>2.098272892429526</v>
      </c>
      <c r="EG62" s="6">
        <f t="shared" si="51"/>
        <v>2.098272892429526</v>
      </c>
      <c r="EH62" s="6">
        <f t="shared" si="43"/>
        <v>1.0000000000000004</v>
      </c>
      <c r="EI62" s="6">
        <f t="shared" si="44"/>
        <v>1.0000000000000002</v>
      </c>
      <c r="EJ62" s="6">
        <f t="shared" si="52"/>
        <v>0.34689431749470445</v>
      </c>
      <c r="EK62" s="6">
        <f t="shared" si="53"/>
        <v>48.167442691733122</v>
      </c>
      <c r="EL62" s="6">
        <f t="shared" si="45"/>
        <v>86.832557308266871</v>
      </c>
      <c r="EM62" s="6">
        <f t="shared" si="54"/>
        <v>94.684402228746279</v>
      </c>
      <c r="EN62" s="6">
        <f t="shared" si="46"/>
        <v>5.3155977712537208</v>
      </c>
      <c r="EO62" s="6"/>
      <c r="EP62" s="6">
        <f t="shared" si="55"/>
        <v>130.56595153151463</v>
      </c>
      <c r="EQ62" s="6">
        <f t="shared" si="56"/>
        <v>87.155187947676183</v>
      </c>
      <c r="ER62" s="6">
        <f t="shared" si="47"/>
        <v>361.11818472052073</v>
      </c>
      <c r="ES62" s="46">
        <f t="shared" si="48"/>
        <v>129.07693728378428</v>
      </c>
      <c r="ET62" s="47">
        <f t="shared" si="49"/>
        <v>90.279546180130183</v>
      </c>
      <c r="EU62" s="6">
        <f t="shared" si="57"/>
        <v>1.4890142477303527</v>
      </c>
      <c r="EV62" s="6">
        <f t="shared" si="58"/>
        <v>3.124358232454</v>
      </c>
      <c r="EW62" s="6"/>
      <c r="EX62" s="6"/>
      <c r="EZ62" s="48">
        <f t="shared" si="60"/>
        <v>1.49808582375957</v>
      </c>
      <c r="FA62" s="3">
        <f t="shared" si="61"/>
        <v>1.429747298754068</v>
      </c>
    </row>
    <row r="63" spans="1:157">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J63" s="2">
        <f t="shared" si="66"/>
        <v>0.26962869402419221</v>
      </c>
      <c r="AK63" s="57">
        <f t="shared" si="67"/>
        <v>186.23899184095956</v>
      </c>
      <c r="AL63" s="53"/>
      <c r="AP63" s="2">
        <f t="shared" si="68"/>
        <v>0.26962869402419221</v>
      </c>
      <c r="AQ63" s="57">
        <f t="shared" si="69"/>
        <v>158.44951811534884</v>
      </c>
      <c r="AT63" s="6">
        <f t="shared" si="62"/>
        <v>0.5828463221345096</v>
      </c>
      <c r="AU63" s="2">
        <f t="shared" si="70"/>
        <v>0.5828463221345096</v>
      </c>
      <c r="AW63" s="3">
        <f t="shared" si="63"/>
        <v>52.443902735238304</v>
      </c>
      <c r="AX63" s="2">
        <f t="shared" si="71"/>
        <v>290.90868569184681</v>
      </c>
      <c r="AZ63" s="2">
        <f>AZ62</f>
        <v>0.9</v>
      </c>
      <c r="BA63" s="52">
        <f>E9</f>
        <v>85.840955544057195</v>
      </c>
      <c r="BD63" s="6">
        <f t="shared" si="64"/>
        <v>0.5828463221345096</v>
      </c>
      <c r="BE63" s="2">
        <f t="shared" si="72"/>
        <v>1.5441463140815661</v>
      </c>
      <c r="BG63" s="3">
        <f t="shared" si="65"/>
        <v>172.90665645624259</v>
      </c>
      <c r="BH63" s="2">
        <f t="shared" si="73"/>
        <v>36.601682104484944</v>
      </c>
      <c r="BK63" s="2">
        <f>BK62</f>
        <v>1</v>
      </c>
      <c r="BL63" s="52">
        <f>F9</f>
        <v>148.81655005365113</v>
      </c>
      <c r="EE63" s="6">
        <f t="shared" si="50"/>
        <v>2.2065176474505988</v>
      </c>
      <c r="EF63" s="6">
        <f t="shared" si="59"/>
        <v>2.2065176474505988</v>
      </c>
      <c r="EG63" s="6">
        <f t="shared" si="51"/>
        <v>2.2065176474505988</v>
      </c>
      <c r="EH63" s="7">
        <f t="shared" si="43"/>
        <v>1.0000000000000004</v>
      </c>
      <c r="EI63" s="7">
        <f t="shared" si="44"/>
        <v>1.0000000000000002</v>
      </c>
      <c r="EJ63" s="7">
        <f t="shared" si="52"/>
        <v>0.32284154803742865</v>
      </c>
      <c r="EK63" s="7">
        <f t="shared" si="53"/>
        <v>52.079368653503543</v>
      </c>
      <c r="EL63" s="7">
        <f t="shared" si="45"/>
        <v>82.920631346496464</v>
      </c>
      <c r="EM63" s="7">
        <f t="shared" si="54"/>
        <v>95.275842649151102</v>
      </c>
      <c r="EN63" s="7">
        <f t="shared" si="46"/>
        <v>4.7241573508488983</v>
      </c>
      <c r="EO63" s="7"/>
      <c r="EP63" s="7">
        <f t="shared" si="55"/>
        <v>132.80531602222374</v>
      </c>
      <c r="EQ63" s="7">
        <f t="shared" si="56"/>
        <v>82.336440411382355</v>
      </c>
      <c r="ER63" s="6">
        <f t="shared" si="47"/>
        <v>375.37371388967279</v>
      </c>
      <c r="ES63" s="46">
        <f t="shared" si="48"/>
        <v>127.59031668862178</v>
      </c>
      <c r="ET63" s="47">
        <f t="shared" si="49"/>
        <v>93.843428472418196</v>
      </c>
      <c r="EU63" s="7">
        <f t="shared" si="57"/>
        <v>5.214999333601952</v>
      </c>
      <c r="EV63" s="7">
        <f t="shared" si="58"/>
        <v>11.506988061035841</v>
      </c>
      <c r="EW63" s="7"/>
      <c r="EX63" s="7"/>
      <c r="EZ63" s="48">
        <f t="shared" si="60"/>
        <v>1.6129591631442992</v>
      </c>
      <c r="FA63" s="3">
        <f t="shared" si="61"/>
        <v>1.3596084325299584</v>
      </c>
    </row>
    <row r="64" spans="1:157">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J64" s="2">
        <f t="shared" si="66"/>
        <v>0.35444304103628832</v>
      </c>
      <c r="AK64" s="57">
        <f t="shared" si="67"/>
        <v>172.86821172709111</v>
      </c>
      <c r="AL64" s="53"/>
      <c r="AP64" s="2">
        <f t="shared" si="68"/>
        <v>0.35444304103628832</v>
      </c>
      <c r="AQ64" s="57">
        <f t="shared" si="69"/>
        <v>140.48598841305966</v>
      </c>
      <c r="AT64" s="6">
        <f t="shared" si="62"/>
        <v>0.69109107715558227</v>
      </c>
      <c r="AU64" s="2">
        <f t="shared" si="70"/>
        <v>0.69109107715558227</v>
      </c>
      <c r="AW64" s="3">
        <f t="shared" si="63"/>
        <v>66.876986309343735</v>
      </c>
      <c r="AX64" s="2">
        <f t="shared" si="71"/>
        <v>245.34401200828378</v>
      </c>
      <c r="AZ64" s="2">
        <v>0</v>
      </c>
      <c r="BA64" s="52">
        <f>BA63</f>
        <v>85.840955544057195</v>
      </c>
      <c r="BD64" s="6">
        <f t="shared" si="64"/>
        <v>0.69109107715558227</v>
      </c>
      <c r="BE64" s="2">
        <f t="shared" si="72"/>
        <v>1.3022885546493419</v>
      </c>
      <c r="BG64" s="3">
        <f t="shared" si="65"/>
        <v>163.75347025496029</v>
      </c>
      <c r="BH64" s="2">
        <f t="shared" si="73"/>
        <v>43.399254573072668</v>
      </c>
      <c r="BK64" s="2">
        <v>0</v>
      </c>
      <c r="BL64" s="52">
        <f>BL63</f>
        <v>148.81655005365113</v>
      </c>
      <c r="EE64" s="6">
        <f t="shared" si="50"/>
        <v>2.3147624024716715</v>
      </c>
      <c r="EF64" s="6">
        <f t="shared" si="59"/>
        <v>2.3147624024716715</v>
      </c>
      <c r="EG64" s="6">
        <f t="shared" si="51"/>
        <v>2.3147624024716715</v>
      </c>
      <c r="EH64" s="7">
        <f t="shared" si="43"/>
        <v>1.0000000000000004</v>
      </c>
      <c r="EI64" s="7">
        <f t="shared" si="44"/>
        <v>1.0000000000000002</v>
      </c>
      <c r="EJ64" s="7">
        <f t="shared" si="52"/>
        <v>0.30149252100665525</v>
      </c>
      <c r="EK64" s="7">
        <f t="shared" si="53"/>
        <v>56.074437496724371</v>
      </c>
      <c r="EL64" s="7">
        <f t="shared" si="45"/>
        <v>78.925562503275629</v>
      </c>
      <c r="EM64" s="7">
        <f t="shared" si="54"/>
        <v>95.800799974532779</v>
      </c>
      <c r="EN64" s="7">
        <f t="shared" si="46"/>
        <v>4.1992000254672206</v>
      </c>
      <c r="EO64" s="7"/>
      <c r="EP64" s="7">
        <f t="shared" si="55"/>
        <v>134.9145311383177</v>
      </c>
      <c r="EQ64" s="7">
        <f t="shared" si="56"/>
        <v>77.569365954245015</v>
      </c>
      <c r="ER64" s="6">
        <f t="shared" si="47"/>
        <v>389.86445018031645</v>
      </c>
      <c r="ES64" s="46">
        <f t="shared" si="48"/>
        <v>126.31894198861119</v>
      </c>
      <c r="ET64" s="47">
        <f t="shared" si="49"/>
        <v>97.466112545079113</v>
      </c>
      <c r="EU64" s="7">
        <f t="shared" si="57"/>
        <v>8.5955891497065124</v>
      </c>
      <c r="EV64" s="7">
        <f t="shared" si="58"/>
        <v>19.896746590834098</v>
      </c>
      <c r="EW64" s="7"/>
      <c r="EX64" s="7"/>
      <c r="EZ64" s="48">
        <f t="shared" si="60"/>
        <v>1.7392759303704795</v>
      </c>
      <c r="FA64" s="3">
        <f t="shared" si="61"/>
        <v>1.2960293448678106</v>
      </c>
    </row>
    <row r="65" spans="1:157">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G65" s="45" t="s">
        <v>112</v>
      </c>
      <c r="AJ65" s="2">
        <f t="shared" si="66"/>
        <v>0.43925738804838443</v>
      </c>
      <c r="AK65" s="57">
        <f t="shared" si="67"/>
        <v>163.62787001885442</v>
      </c>
      <c r="AL65" s="53"/>
      <c r="AM65" s="45" t="s">
        <v>112</v>
      </c>
      <c r="AP65" s="2">
        <f t="shared" si="68"/>
        <v>0.43925738804838443</v>
      </c>
      <c r="AQ65" s="57">
        <f t="shared" si="69"/>
        <v>128.617325679407</v>
      </c>
      <c r="AT65" s="6">
        <f t="shared" si="62"/>
        <v>0.79933583217665494</v>
      </c>
      <c r="AU65" s="2">
        <f t="shared" si="70"/>
        <v>0.79933583217665494</v>
      </c>
      <c r="AW65" s="3">
        <f t="shared" si="63"/>
        <v>77.768243425970255</v>
      </c>
      <c r="AX65" s="2">
        <f t="shared" si="71"/>
        <v>212.11992595248117</v>
      </c>
      <c r="AZ65" s="45" t="s">
        <v>98</v>
      </c>
      <c r="BA65" s="45" t="s">
        <v>100</v>
      </c>
      <c r="BD65" s="6">
        <f t="shared" si="64"/>
        <v>0.79933583217665494</v>
      </c>
      <c r="BE65" s="2">
        <f t="shared" si="72"/>
        <v>1.1259347620501743</v>
      </c>
      <c r="BG65" s="3">
        <f t="shared" si="65"/>
        <v>155.66213061508674</v>
      </c>
      <c r="BH65" s="2">
        <f t="shared" si="73"/>
        <v>50.196827041660391</v>
      </c>
      <c r="BK65" s="45" t="s">
        <v>101</v>
      </c>
      <c r="BL65" s="45" t="s">
        <v>104</v>
      </c>
      <c r="EE65" s="6">
        <f t="shared" si="50"/>
        <v>2.4230071574927443</v>
      </c>
      <c r="EF65" s="6">
        <f t="shared" si="59"/>
        <v>2.4230071574927443</v>
      </c>
      <c r="EG65" s="6">
        <f t="shared" si="51"/>
        <v>2.4230071574927443</v>
      </c>
      <c r="EH65" s="7">
        <f t="shared" si="43"/>
        <v>1.0000000000000004</v>
      </c>
      <c r="EI65" s="7">
        <f t="shared" si="44"/>
        <v>1.0000000000000002</v>
      </c>
      <c r="EJ65" s="7">
        <f t="shared" si="52"/>
        <v>0.28243717659220052</v>
      </c>
      <c r="EK65" s="7">
        <f t="shared" si="53"/>
        <v>60.150403405445786</v>
      </c>
      <c r="EL65" s="7">
        <f t="shared" si="45"/>
        <v>74.849596594554214</v>
      </c>
      <c r="EM65" s="7">
        <f t="shared" si="54"/>
        <v>96.269357282723931</v>
      </c>
      <c r="EN65" s="7">
        <f t="shared" si="46"/>
        <v>3.7306427172760692</v>
      </c>
      <c r="EO65" s="7"/>
      <c r="EP65" s="7">
        <f t="shared" si="55"/>
        <v>136.90864349635049</v>
      </c>
      <c r="EQ65" s="7">
        <f t="shared" si="56"/>
        <v>72.846521324995194</v>
      </c>
      <c r="ER65" s="6">
        <f t="shared" si="47"/>
        <v>404.57714443927489</v>
      </c>
      <c r="ES65" s="46">
        <f t="shared" si="48"/>
        <v>125.22986462963628</v>
      </c>
      <c r="ET65" s="47">
        <f t="shared" si="49"/>
        <v>101.14428610981872</v>
      </c>
      <c r="EU65" s="7">
        <f t="shared" si="57"/>
        <v>11.678778866714211</v>
      </c>
      <c r="EV65" s="7">
        <f t="shared" si="58"/>
        <v>28.297764784823528</v>
      </c>
      <c r="EW65" s="7"/>
      <c r="EX65" s="7"/>
      <c r="EZ65" s="48">
        <f t="shared" si="60"/>
        <v>1.8794122355623619</v>
      </c>
      <c r="FA65" s="3">
        <f t="shared" si="61"/>
        <v>1.2381308865403067</v>
      </c>
    </row>
    <row r="66" spans="1:157">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G66" s="45" t="s">
        <v>95</v>
      </c>
      <c r="AH66" s="45" t="s">
        <v>96</v>
      </c>
      <c r="AJ66" s="2">
        <f t="shared" si="66"/>
        <v>0.52407173506048055</v>
      </c>
      <c r="AK66" s="57">
        <f t="shared" si="67"/>
        <v>156.72054813763418</v>
      </c>
      <c r="AL66" s="53"/>
      <c r="AM66" s="45" t="s">
        <v>110</v>
      </c>
      <c r="AN66" s="45" t="s">
        <v>111</v>
      </c>
      <c r="AP66" s="2">
        <f t="shared" si="68"/>
        <v>0.52407173506048055</v>
      </c>
      <c r="AQ66" s="57">
        <f t="shared" si="69"/>
        <v>120.07217591410608</v>
      </c>
      <c r="AT66" s="6">
        <f t="shared" si="62"/>
        <v>0.90758058719772761</v>
      </c>
      <c r="AU66" s="2">
        <f t="shared" si="70"/>
        <v>0.90758058719772761</v>
      </c>
      <c r="AW66" s="3">
        <f t="shared" si="63"/>
        <v>86.387672938809786</v>
      </c>
      <c r="AX66" s="2">
        <f t="shared" si="71"/>
        <v>186.8209390154544</v>
      </c>
      <c r="AZ66" s="2">
        <f>E18*(1+E16/100)*(1+E13/100)</f>
        <v>0.9</v>
      </c>
      <c r="BA66" s="2">
        <v>0</v>
      </c>
      <c r="BD66" s="6">
        <f t="shared" si="64"/>
        <v>0.90758058719772761</v>
      </c>
      <c r="BE66" s="2">
        <f t="shared" si="72"/>
        <v>0.99164747758528682</v>
      </c>
      <c r="BG66" s="3">
        <f t="shared" si="65"/>
        <v>148.32243697673326</v>
      </c>
      <c r="BH66" s="2">
        <f t="shared" si="73"/>
        <v>56.994399510248115</v>
      </c>
      <c r="BK66" s="2">
        <f>F18*(1+F16/100)*(1+F13/100)</f>
        <v>1</v>
      </c>
      <c r="BL66" s="2">
        <v>0</v>
      </c>
      <c r="EE66" s="6">
        <f t="shared" si="50"/>
        <v>2.5312519125138171</v>
      </c>
      <c r="EF66" s="6">
        <f t="shared" si="59"/>
        <v>2.5312519125138171</v>
      </c>
      <c r="EG66" s="6">
        <f t="shared" si="51"/>
        <v>2.5312519125138171</v>
      </c>
      <c r="EH66" s="7">
        <f t="shared" si="43"/>
        <v>1.0000000000000004</v>
      </c>
      <c r="EI66" s="7">
        <f t="shared" si="44"/>
        <v>1.0000000000000002</v>
      </c>
      <c r="EJ66" s="7">
        <f t="shared" si="52"/>
        <v>0.26534237749947387</v>
      </c>
      <c r="EK66" s="7">
        <f t="shared" si="53"/>
        <v>64.305179922650979</v>
      </c>
      <c r="EL66" s="7">
        <f t="shared" si="45"/>
        <v>70.694820077349021</v>
      </c>
      <c r="EM66" s="7">
        <f t="shared" si="54"/>
        <v>96.689706181843306</v>
      </c>
      <c r="EN66" s="7">
        <f t="shared" si="46"/>
        <v>3.3102938181566941</v>
      </c>
      <c r="EO66" s="7"/>
      <c r="EP66" s="7">
        <f t="shared" si="55"/>
        <v>138.80027365852402</v>
      </c>
      <c r="EQ66" s="7">
        <f t="shared" si="56"/>
        <v>68.16158177424083</v>
      </c>
      <c r="ER66" s="6">
        <f t="shared" si="47"/>
        <v>419.5000399298209</v>
      </c>
      <c r="ES66" s="46">
        <f t="shared" si="48"/>
        <v>124.29621421398066</v>
      </c>
      <c r="ET66" s="47">
        <f t="shared" si="49"/>
        <v>104.87500998245523</v>
      </c>
      <c r="EU66" s="7">
        <f t="shared" si="57"/>
        <v>14.504059444543358</v>
      </c>
      <c r="EV66" s="7">
        <f t="shared" si="58"/>
        <v>36.713428208214395</v>
      </c>
      <c r="EW66" s="7"/>
      <c r="EX66" s="7"/>
      <c r="EZ66" s="48">
        <f t="shared" si="60"/>
        <v>2.036341734530851</v>
      </c>
      <c r="FA66" s="3">
        <f t="shared" si="61"/>
        <v>1.1851842897061411</v>
      </c>
    </row>
    <row r="67" spans="1:157">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G67" s="52">
        <f>AG68</f>
        <v>1.0228340484744547</v>
      </c>
      <c r="AH67" s="52">
        <v>0</v>
      </c>
      <c r="AJ67" s="2">
        <f t="shared" si="66"/>
        <v>0.60888608207257666</v>
      </c>
      <c r="AK67" s="57">
        <f t="shared" si="67"/>
        <v>151.28425786954847</v>
      </c>
      <c r="AL67" s="53"/>
      <c r="AM67" s="52">
        <f>AM68</f>
        <v>0.87990813499251475</v>
      </c>
      <c r="AN67" s="2">
        <v>0</v>
      </c>
      <c r="AP67" s="2">
        <f t="shared" si="68"/>
        <v>0.60888608207257666</v>
      </c>
      <c r="AQ67" s="57">
        <f t="shared" si="69"/>
        <v>113.55990081148069</v>
      </c>
      <c r="AT67" s="6">
        <f t="shared" si="62"/>
        <v>1.0158253422188002</v>
      </c>
      <c r="AU67" s="2">
        <f t="shared" si="70"/>
        <v>1.0158253422188002</v>
      </c>
      <c r="AW67" s="3">
        <f t="shared" si="63"/>
        <v>93.455573610952683</v>
      </c>
      <c r="AX67" s="2">
        <f t="shared" si="71"/>
        <v>166.91359280536264</v>
      </c>
      <c r="AZ67" s="2">
        <f>AZ66</f>
        <v>0.9</v>
      </c>
      <c r="BA67" s="52">
        <f>E12</f>
        <v>188.39450836941884</v>
      </c>
      <c r="BD67" s="6">
        <f t="shared" si="64"/>
        <v>1.0158253422188002</v>
      </c>
      <c r="BE67" s="2">
        <f t="shared" si="72"/>
        <v>0.88597907789363628</v>
      </c>
      <c r="BG67" s="3">
        <f t="shared" si="65"/>
        <v>141.53689695674765</v>
      </c>
      <c r="BH67" s="2">
        <f t="shared" si="73"/>
        <v>63.791971978835825</v>
      </c>
      <c r="BK67" s="2">
        <f>BK66</f>
        <v>1</v>
      </c>
      <c r="BL67" s="52">
        <f>F12</f>
        <v>56.51835251082565</v>
      </c>
      <c r="EE67" s="6">
        <f t="shared" si="50"/>
        <v>2.6394966675348899</v>
      </c>
      <c r="EF67" s="6">
        <f t="shared" si="59"/>
        <v>2.6394966675348899</v>
      </c>
      <c r="EG67" s="6">
        <f t="shared" si="51"/>
        <v>2.6394966675348899</v>
      </c>
      <c r="EH67" s="7">
        <f t="shared" si="43"/>
        <v>1.0000000000000004</v>
      </c>
      <c r="EI67" s="7">
        <f t="shared" si="44"/>
        <v>1.0000000000000002</v>
      </c>
      <c r="EJ67" s="7">
        <f t="shared" si="52"/>
        <v>0.2499349406239473</v>
      </c>
      <c r="EK67" s="7">
        <f t="shared" si="53"/>
        <v>68.536822239307597</v>
      </c>
      <c r="EL67" s="7">
        <f t="shared" si="45"/>
        <v>66.463177760692403</v>
      </c>
      <c r="EM67" s="7">
        <f t="shared" si="54"/>
        <v>97.068564049300448</v>
      </c>
      <c r="EN67" s="7">
        <f t="shared" si="46"/>
        <v>2.9314359506995515</v>
      </c>
      <c r="EO67" s="7"/>
      <c r="EP67" s="7">
        <f t="shared" si="55"/>
        <v>140.60010118557514</v>
      </c>
      <c r="EQ67" s="7">
        <f t="shared" si="56"/>
        <v>63.509138634207396</v>
      </c>
      <c r="ER67" s="6">
        <f t="shared" si="47"/>
        <v>434.62263716860127</v>
      </c>
      <c r="ES67" s="46">
        <f t="shared" si="48"/>
        <v>123.49588536547839</v>
      </c>
      <c r="ET67" s="47">
        <f t="shared" si="49"/>
        <v>108.65565929215032</v>
      </c>
      <c r="EU67" s="7">
        <f t="shared" si="57"/>
        <v>17.104215820096755</v>
      </c>
      <c r="EV67" s="7">
        <f t="shared" si="58"/>
        <v>45.146520657942922</v>
      </c>
      <c r="EW67" s="7"/>
      <c r="EX67" s="7"/>
      <c r="EZ67" s="48">
        <f t="shared" si="60"/>
        <v>2.2138562135976585</v>
      </c>
      <c r="FA67" s="3">
        <f t="shared" si="61"/>
        <v>1.1365803324926325</v>
      </c>
    </row>
    <row r="68" spans="1:157">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G68" s="52">
        <f>I5</f>
        <v>1.0228340484744547</v>
      </c>
      <c r="AH68" s="52">
        <f>L5</f>
        <v>135</v>
      </c>
      <c r="AJ68" s="2">
        <f t="shared" si="66"/>
        <v>0.69370042908467278</v>
      </c>
      <c r="AK68" s="57">
        <f t="shared" si="67"/>
        <v>146.84728932329756</v>
      </c>
      <c r="AL68" s="53"/>
      <c r="AM68" s="52">
        <f>I4</f>
        <v>0.87990813499251475</v>
      </c>
      <c r="AN68" s="52">
        <f>L4</f>
        <v>100</v>
      </c>
      <c r="AP68" s="2">
        <f t="shared" si="68"/>
        <v>0.69370042908467278</v>
      </c>
      <c r="AQ68" s="57">
        <f t="shared" si="69"/>
        <v>108.39212968329781</v>
      </c>
      <c r="AT68" s="6">
        <f t="shared" si="62"/>
        <v>1.1240700972398727</v>
      </c>
      <c r="AU68" s="2">
        <f t="shared" si="70"/>
        <v>1.1240700972398727</v>
      </c>
      <c r="AW68" s="3">
        <f t="shared" si="63"/>
        <v>99.41168452854572</v>
      </c>
      <c r="AX68" s="2">
        <f t="shared" si="71"/>
        <v>150.84028829591264</v>
      </c>
      <c r="AZ68" s="2">
        <v>0</v>
      </c>
      <c r="BA68" s="52">
        <f>BA67</f>
        <v>188.39450836941884</v>
      </c>
      <c r="BD68" s="6">
        <f t="shared" si="64"/>
        <v>1.1240700972398727</v>
      </c>
      <c r="BE68" s="2">
        <f t="shared" si="72"/>
        <v>0.80066181122505486</v>
      </c>
      <c r="BG68" s="3">
        <f t="shared" si="65"/>
        <v>135.17272534495061</v>
      </c>
      <c r="BH68" s="2">
        <f t="shared" si="73"/>
        <v>70.589544447423549</v>
      </c>
      <c r="BK68" s="2">
        <v>0</v>
      </c>
      <c r="BL68" s="52">
        <f>BL67</f>
        <v>56.51835251082565</v>
      </c>
      <c r="EE68" s="6">
        <f t="shared" si="50"/>
        <v>2.7477414225559627</v>
      </c>
      <c r="EF68" s="6">
        <f t="shared" si="59"/>
        <v>2.7477414225559627</v>
      </c>
      <c r="EG68" s="6">
        <f t="shared" si="51"/>
        <v>2.7477414225559627</v>
      </c>
      <c r="EH68" s="7">
        <f t="shared" si="43"/>
        <v>1.0000000000000004</v>
      </c>
      <c r="EI68" s="7">
        <f t="shared" si="44"/>
        <v>1.0000000000000002</v>
      </c>
      <c r="EJ68" s="7">
        <f t="shared" si="52"/>
        <v>0.23598892795972645</v>
      </c>
      <c r="EK68" s="7">
        <f t="shared" si="53"/>
        <v>72.843512104915973</v>
      </c>
      <c r="EL68" s="7">
        <f t="shared" si="45"/>
        <v>62.156487895084027</v>
      </c>
      <c r="EM68" s="7">
        <f t="shared" si="54"/>
        <v>97.411486539276027</v>
      </c>
      <c r="EN68" s="7">
        <f t="shared" si="46"/>
        <v>2.5885134607239735</v>
      </c>
      <c r="EO68" s="7"/>
      <c r="EP68" s="7">
        <f t="shared" si="55"/>
        <v>142.31723617561599</v>
      </c>
      <c r="EQ68" s="7">
        <f t="shared" si="56"/>
        <v>58.884539818513133</v>
      </c>
      <c r="ER68" s="6">
        <f t="shared" si="47"/>
        <v>449.93550480193312</v>
      </c>
      <c r="ES68" s="46">
        <f t="shared" si="48"/>
        <v>122.81054753964099</v>
      </c>
      <c r="ET68" s="47">
        <f t="shared" si="49"/>
        <v>112.48387620048328</v>
      </c>
      <c r="EU68" s="7">
        <f t="shared" si="57"/>
        <v>19.506688635974996</v>
      </c>
      <c r="EV68" s="7">
        <f t="shared" si="58"/>
        <v>53.599336381970147</v>
      </c>
      <c r="EW68" s="7"/>
      <c r="EX68" s="7"/>
      <c r="EZ68" s="48">
        <f t="shared" si="60"/>
        <v>2.4168862763341465</v>
      </c>
      <c r="FA68" s="3">
        <f t="shared" si="61"/>
        <v>1.0918057919763735</v>
      </c>
    </row>
    <row r="69" spans="1:157">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J69" s="2">
        <f t="shared" si="66"/>
        <v>0.77851477609676889</v>
      </c>
      <c r="AK69" s="57">
        <f t="shared" si="67"/>
        <v>143.12682522738859</v>
      </c>
      <c r="AL69" s="53"/>
      <c r="AP69" s="2">
        <f t="shared" si="68"/>
        <v>0.77851477609676889</v>
      </c>
      <c r="AQ69" s="57">
        <f t="shared" si="69"/>
        <v>104.16551435317025</v>
      </c>
      <c r="AT69" s="6">
        <f t="shared" si="62"/>
        <v>1.2323148522609453</v>
      </c>
      <c r="AU69" s="2">
        <f t="shared" si="70"/>
        <v>1.2323148522609453</v>
      </c>
      <c r="AW69" s="3">
        <f t="shared" si="63"/>
        <v>104.5402367390468</v>
      </c>
      <c r="AX69" s="2">
        <f t="shared" si="71"/>
        <v>137.59069544718375</v>
      </c>
      <c r="BD69" s="6">
        <f t="shared" si="64"/>
        <v>1.2323148522609453</v>
      </c>
      <c r="BE69" s="2">
        <f t="shared" si="72"/>
        <v>0.7303328352723798</v>
      </c>
      <c r="BG69" s="3">
        <f t="shared" si="65"/>
        <v>129.1367846400104</v>
      </c>
      <c r="BH69" s="2">
        <f t="shared" si="73"/>
        <v>77.387116916011266</v>
      </c>
      <c r="EE69" s="6">
        <f t="shared" si="50"/>
        <v>2.8559861775770354</v>
      </c>
      <c r="EF69" s="6">
        <f t="shared" si="59"/>
        <v>2.8559861775770354</v>
      </c>
      <c r="EG69" s="6">
        <f t="shared" si="51"/>
        <v>2.8559861775770354</v>
      </c>
      <c r="EH69" s="7">
        <f t="shared" si="43"/>
        <v>1.0000000000000004</v>
      </c>
      <c r="EI69" s="7">
        <f t="shared" si="44"/>
        <v>1.0000000000000002</v>
      </c>
      <c r="EJ69" s="7">
        <f t="shared" si="52"/>
        <v>0.2233160078066721</v>
      </c>
      <c r="EK69" s="7">
        <f t="shared" si="53"/>
        <v>77.223544882498416</v>
      </c>
      <c r="EL69" s="7">
        <f t="shared" si="45"/>
        <v>57.776455117501584</v>
      </c>
      <c r="EM69" s="7">
        <f t="shared" si="54"/>
        <v>97.723104593753803</v>
      </c>
      <c r="EN69" s="7">
        <f t="shared" si="46"/>
        <v>2.2768954062461972</v>
      </c>
      <c r="EO69" s="7"/>
      <c r="EP69" s="7">
        <f t="shared" si="55"/>
        <v>143.95950733533624</v>
      </c>
      <c r="EQ69" s="7">
        <f t="shared" si="56"/>
        <v>54.283762875512693</v>
      </c>
      <c r="ER69" s="6">
        <f t="shared" si="47"/>
        <v>465.43012595603284</v>
      </c>
      <c r="ES69" s="46">
        <f t="shared" si="48"/>
        <v>122.22488932462943</v>
      </c>
      <c r="ET69" s="47">
        <f t="shared" si="49"/>
        <v>116.35753148900821</v>
      </c>
      <c r="EU69" s="7">
        <f t="shared" si="57"/>
        <v>21.734618010706811</v>
      </c>
      <c r="EV69" s="7">
        <f t="shared" si="58"/>
        <v>62.073768613495517</v>
      </c>
      <c r="EW69" s="7"/>
      <c r="EX69" s="7"/>
      <c r="EZ69" s="48">
        <f t="shared" si="60"/>
        <v>2.6519809922807713</v>
      </c>
      <c r="FA69" s="3">
        <f t="shared" si="61"/>
        <v>1.0504252518985029</v>
      </c>
    </row>
    <row r="70" spans="1:157">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J70" s="2">
        <f t="shared" si="66"/>
        <v>0.863329123108865</v>
      </c>
      <c r="AK70" s="57">
        <f t="shared" si="67"/>
        <v>139.94152004335697</v>
      </c>
      <c r="AL70" s="53"/>
      <c r="AP70" s="2">
        <f t="shared" si="68"/>
        <v>0.863329123108865</v>
      </c>
      <c r="AQ70" s="57">
        <f t="shared" si="69"/>
        <v>100.62675201804117</v>
      </c>
      <c r="AT70" s="6">
        <f t="shared" si="62"/>
        <v>1.3405596072820178</v>
      </c>
      <c r="AU70" s="2">
        <f t="shared" si="70"/>
        <v>1.3405596072820178</v>
      </c>
      <c r="AW70" s="3">
        <f t="shared" si="63"/>
        <v>109.0335223351389</v>
      </c>
      <c r="AX70" s="2">
        <f t="shared" si="71"/>
        <v>126.48080444274278</v>
      </c>
      <c r="BD70" s="6">
        <f t="shared" si="64"/>
        <v>1.3405596072820178</v>
      </c>
      <c r="BE70" s="2">
        <f t="shared" si="72"/>
        <v>0.67136141885160061</v>
      </c>
      <c r="BG70" s="3">
        <f t="shared" si="65"/>
        <v>123.36150146954115</v>
      </c>
      <c r="BH70" s="2">
        <f t="shared" si="73"/>
        <v>84.184689384598983</v>
      </c>
      <c r="EE70" s="6">
        <f t="shared" si="50"/>
        <v>2.9642309325981082</v>
      </c>
      <c r="EF70" s="6">
        <f t="shared" si="59"/>
        <v>2.9642309325981082</v>
      </c>
      <c r="EG70" s="6">
        <f t="shared" si="51"/>
        <v>2.9642309325981082</v>
      </c>
      <c r="EH70" s="7">
        <f t="shared" si="43"/>
        <v>1.0000000000000004</v>
      </c>
      <c r="EI70" s="7">
        <f t="shared" si="44"/>
        <v>1.0000000000000002</v>
      </c>
      <c r="EJ70" s="7">
        <f t="shared" si="52"/>
        <v>0.21175806024583707</v>
      </c>
      <c r="EK70" s="7">
        <f t="shared" si="53"/>
        <v>81.675318372756536</v>
      </c>
      <c r="EL70" s="7">
        <f t="shared" si="45"/>
        <v>53.324681627243464</v>
      </c>
      <c r="EM70" s="7">
        <f t="shared" si="54"/>
        <v>98.007306268597901</v>
      </c>
      <c r="EN70" s="7">
        <f t="shared" si="46"/>
        <v>1.9926937314020989</v>
      </c>
      <c r="EO70" s="7"/>
      <c r="EP70" s="7">
        <f t="shared" si="55"/>
        <v>145.53368783720018</v>
      </c>
      <c r="EQ70" s="7">
        <f t="shared" si="56"/>
        <v>49.703313019174765</v>
      </c>
      <c r="ER70" s="6">
        <f t="shared" si="47"/>
        <v>481.09877224128059</v>
      </c>
      <c r="ES70" s="46">
        <f t="shared" si="48"/>
        <v>121.72603531422669</v>
      </c>
      <c r="ET70" s="47">
        <f t="shared" si="49"/>
        <v>120.27469306032015</v>
      </c>
      <c r="EU70" s="7">
        <f t="shared" si="57"/>
        <v>23.807652522973484</v>
      </c>
      <c r="EV70" s="7">
        <f t="shared" si="58"/>
        <v>70.571380041145375</v>
      </c>
      <c r="EW70" s="7"/>
      <c r="EX70" s="7"/>
      <c r="EZ70" s="48">
        <f t="shared" si="60"/>
        <v>2.9280480313466337</v>
      </c>
      <c r="FA70" s="3">
        <f t="shared" si="61"/>
        <v>1.0120668963435115</v>
      </c>
    </row>
    <row r="71" spans="1:157">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J71" s="2">
        <f t="shared" si="66"/>
        <v>0.94814347012096112</v>
      </c>
      <c r="AK71" s="57">
        <f t="shared" si="67"/>
        <v>137.16893952956585</v>
      </c>
      <c r="AL71" s="53"/>
      <c r="AP71" s="2">
        <f t="shared" si="68"/>
        <v>0.94814347012096112</v>
      </c>
      <c r="AQ71" s="57">
        <f t="shared" si="69"/>
        <v>97.608056526603818</v>
      </c>
      <c r="AT71" s="6">
        <f t="shared" si="62"/>
        <v>1.4488043623030904</v>
      </c>
      <c r="AU71" s="2">
        <f t="shared" si="70"/>
        <v>1.4488043623030904</v>
      </c>
      <c r="AW71" s="3">
        <f t="shared" si="63"/>
        <v>113.02658020190623</v>
      </c>
      <c r="AX71" s="2">
        <f t="shared" si="71"/>
        <v>117.0310236110443</v>
      </c>
      <c r="BD71" s="6">
        <f t="shared" si="64"/>
        <v>1.4488043623030904</v>
      </c>
      <c r="BE71" s="2">
        <f t="shared" si="72"/>
        <v>0.62120188440716451</v>
      </c>
      <c r="BG71" s="3">
        <f t="shared" si="65"/>
        <v>117.79647708729522</v>
      </c>
      <c r="BH71" s="2">
        <f t="shared" si="73"/>
        <v>90.982261853186685</v>
      </c>
      <c r="EE71" s="6">
        <f t="shared" si="50"/>
        <v>3.072475687619181</v>
      </c>
      <c r="EF71" s="6">
        <f t="shared" si="59"/>
        <v>3.072475687619181</v>
      </c>
      <c r="EG71" s="6">
        <f t="shared" si="51"/>
        <v>3.072475687619181</v>
      </c>
      <c r="EH71" s="7">
        <f t="shared" si="43"/>
        <v>1.0000000000000004</v>
      </c>
      <c r="EI71" s="7">
        <f t="shared" si="44"/>
        <v>1.0000000000000002</v>
      </c>
      <c r="EJ71" s="7">
        <f t="shared" si="52"/>
        <v>0.20118144418011702</v>
      </c>
      <c r="EK71" s="7">
        <f t="shared" si="53"/>
        <v>86.197323109232485</v>
      </c>
      <c r="EL71" s="7">
        <f t="shared" si="45"/>
        <v>48.802676890767515</v>
      </c>
      <c r="EM71" s="7">
        <f t="shared" si="54"/>
        <v>98.267377702928187</v>
      </c>
      <c r="EN71" s="7">
        <f t="shared" si="46"/>
        <v>1.7326222970718135</v>
      </c>
      <c r="EO71" s="7"/>
      <c r="EP71" s="7">
        <f t="shared" si="55"/>
        <v>147.04567422241351</v>
      </c>
      <c r="EQ71" s="7">
        <f t="shared" si="56"/>
        <v>45.140140528661405</v>
      </c>
      <c r="ER71" s="6">
        <f t="shared" si="47"/>
        <v>496.93439954659743</v>
      </c>
      <c r="ES71" s="46">
        <f t="shared" si="48"/>
        <v>121.30309156286563</v>
      </c>
      <c r="ET71" s="47">
        <f t="shared" si="49"/>
        <v>124.23359988664936</v>
      </c>
      <c r="EU71" s="7">
        <f t="shared" si="57"/>
        <v>25.742582659547878</v>
      </c>
      <c r="EV71" s="7">
        <f t="shared" si="58"/>
        <v>79.093459357987953</v>
      </c>
      <c r="EW71" s="7"/>
      <c r="EX71" s="7"/>
      <c r="EZ71" s="48">
        <f t="shared" si="60"/>
        <v>3.2575369172598814</v>
      </c>
      <c r="FA71" s="3">
        <f t="shared" si="61"/>
        <v>0.97641130639007867</v>
      </c>
    </row>
    <row r="72" spans="1:157">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J72" s="2">
        <f t="shared" si="66"/>
        <v>1.0329578171330573</v>
      </c>
      <c r="AK72" s="57">
        <f t="shared" si="67"/>
        <v>134.72297453357422</v>
      </c>
      <c r="AL72" s="53"/>
      <c r="AP72" s="2">
        <f t="shared" si="68"/>
        <v>1.0329578171330573</v>
      </c>
      <c r="AQ72" s="57">
        <f t="shared" si="69"/>
        <v>94.993480788746226</v>
      </c>
      <c r="AT72" s="6">
        <f t="shared" si="62"/>
        <v>1.557049117324163</v>
      </c>
      <c r="AU72" s="2">
        <f t="shared" si="70"/>
        <v>1.557049117324163</v>
      </c>
      <c r="AW72" s="3">
        <f t="shared" si="63"/>
        <v>116.61723862767549</v>
      </c>
      <c r="AX72" s="2">
        <f t="shared" si="71"/>
        <v>108.89512453137159</v>
      </c>
      <c r="BD72" s="6">
        <f t="shared" si="64"/>
        <v>1.557049117324163</v>
      </c>
      <c r="BE72" s="2">
        <f t="shared" si="72"/>
        <v>0.57801644789900908</v>
      </c>
      <c r="BG72" s="3">
        <f t="shared" si="65"/>
        <v>112.40324817927458</v>
      </c>
      <c r="BH72" s="2">
        <f t="shared" si="73"/>
        <v>97.779834321774402</v>
      </c>
      <c r="EE72" s="6">
        <f t="shared" si="50"/>
        <v>3.1807204426402538</v>
      </c>
      <c r="EF72" s="6">
        <f t="shared" si="59"/>
        <v>3.1807204426402538</v>
      </c>
      <c r="EG72" s="6">
        <f t="shared" si="51"/>
        <v>3.1807204426402538</v>
      </c>
      <c r="EH72" s="7">
        <f t="shared" si="43"/>
        <v>1.0000000000000004</v>
      </c>
      <c r="EI72" s="7">
        <f t="shared" si="44"/>
        <v>1.0000000000000002</v>
      </c>
      <c r="EJ72" s="7">
        <f t="shared" si="52"/>
        <v>0.1914725090929289</v>
      </c>
      <c r="EK72" s="7">
        <f t="shared" si="53"/>
        <v>90.788133885389726</v>
      </c>
      <c r="EL72" s="7">
        <f t="shared" si="45"/>
        <v>44.211866114610274</v>
      </c>
      <c r="EM72" s="7">
        <f t="shared" si="54"/>
        <v>98.506113481768523</v>
      </c>
      <c r="EN72" s="7">
        <f t="shared" si="46"/>
        <v>1.4938865182314771</v>
      </c>
      <c r="EO72" s="7"/>
      <c r="EP72" s="7">
        <f t="shared" si="55"/>
        <v>148.50062945710101</v>
      </c>
      <c r="EQ72" s="7">
        <f t="shared" si="56"/>
        <v>40.591573314496671</v>
      </c>
      <c r="ER72" s="6">
        <f t="shared" si="47"/>
        <v>512.93056117364335</v>
      </c>
      <c r="ES72" s="46">
        <f t="shared" si="48"/>
        <v>120.94678794245191</v>
      </c>
      <c r="ET72" s="47">
        <f t="shared" si="49"/>
        <v>128.23264029341084</v>
      </c>
      <c r="EU72" s="7">
        <f t="shared" si="57"/>
        <v>27.553841514649108</v>
      </c>
      <c r="EV72" s="7">
        <f t="shared" si="58"/>
        <v>87.641066978914168</v>
      </c>
      <c r="EW72" s="7"/>
      <c r="EX72" s="7"/>
      <c r="EZ72" s="48">
        <f t="shared" si="60"/>
        <v>3.6584102889174352</v>
      </c>
      <c r="FA72" s="3">
        <f t="shared" si="61"/>
        <v>0.94318254436399285</v>
      </c>
    </row>
    <row r="73" spans="1:157">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J73" s="2">
        <f t="shared" si="66"/>
        <v>1.1177721641451535</v>
      </c>
      <c r="AK73" s="57">
        <f t="shared" si="67"/>
        <v>132.54101887259031</v>
      </c>
      <c r="AL73" s="53"/>
      <c r="AP73" s="2">
        <f t="shared" si="68"/>
        <v>1.1177721641451535</v>
      </c>
      <c r="AQ73" s="57">
        <f t="shared" si="69"/>
        <v>92.700091560149403</v>
      </c>
      <c r="AT73" s="6">
        <f t="shared" si="62"/>
        <v>1.6652938723452355</v>
      </c>
      <c r="AU73" s="2">
        <f t="shared" si="70"/>
        <v>1.6652938723452355</v>
      </c>
      <c r="AW73" s="3">
        <f t="shared" si="63"/>
        <v>119.87825926838076</v>
      </c>
      <c r="AX73" s="2">
        <f t="shared" si="71"/>
        <v>101.81689871571577</v>
      </c>
      <c r="BD73" s="6">
        <f t="shared" si="64"/>
        <v>1.6652938723452355</v>
      </c>
      <c r="BE73" s="2">
        <f t="shared" si="72"/>
        <v>0.54044515202144405</v>
      </c>
      <c r="BG73" s="3">
        <f t="shared" si="65"/>
        <v>107.15188452509608</v>
      </c>
      <c r="BH73" s="2">
        <f t="shared" si="73"/>
        <v>104.57740679036212</v>
      </c>
      <c r="EE73" s="6">
        <f t="shared" si="50"/>
        <v>3.2889651976613266</v>
      </c>
      <c r="EF73" s="6">
        <f t="shared" si="59"/>
        <v>3.2889651976613266</v>
      </c>
      <c r="EG73" s="6">
        <f t="shared" si="51"/>
        <v>3.2889651976613266</v>
      </c>
      <c r="EH73" s="7">
        <f t="shared" si="43"/>
        <v>1.0000000000000004</v>
      </c>
      <c r="EI73" s="7">
        <f t="shared" si="44"/>
        <v>1.0000000000000002</v>
      </c>
      <c r="EJ73" s="7">
        <f t="shared" si="52"/>
        <v>0.18253404945183596</v>
      </c>
      <c r="EK73" s="7">
        <f t="shared" si="53"/>
        <v>95.446402320273549</v>
      </c>
      <c r="EL73" s="7">
        <f t="shared" si="45"/>
        <v>39.553597679726451</v>
      </c>
      <c r="EM73" s="7">
        <f t="shared" si="54"/>
        <v>98.725903819728956</v>
      </c>
      <c r="EN73" s="7">
        <f t="shared" si="46"/>
        <v>1.2740961802710444</v>
      </c>
      <c r="EO73" s="7"/>
      <c r="EP73" s="7">
        <f t="shared" si="55"/>
        <v>149.90309832951982</v>
      </c>
      <c r="EQ73" s="7">
        <f t="shared" si="56"/>
        <v>36.055261468401696</v>
      </c>
      <c r="ER73" s="6">
        <f t="shared" si="47"/>
        <v>529.08133489579609</v>
      </c>
      <c r="ES73" s="46">
        <f t="shared" si="48"/>
        <v>120.64919429795309</v>
      </c>
      <c r="ET73" s="47">
        <f t="shared" si="49"/>
        <v>132.27033372394902</v>
      </c>
      <c r="EU73" s="7">
        <f t="shared" si="57"/>
        <v>29.253904031566734</v>
      </c>
      <c r="EV73" s="7">
        <f t="shared" si="58"/>
        <v>96.215072255547327</v>
      </c>
      <c r="EW73" s="7"/>
      <c r="EX73" s="7"/>
      <c r="EZ73" s="48">
        <f t="shared" si="60"/>
        <v>4.1575928789448025</v>
      </c>
      <c r="FA73" s="3">
        <f t="shared" si="61"/>
        <v>0.91214099867435505</v>
      </c>
    </row>
    <row r="74" spans="1:157">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J74" s="2">
        <f t="shared" si="66"/>
        <v>1.2025865111572496</v>
      </c>
      <c r="AK74" s="57">
        <f t="shared" si="67"/>
        <v>130.57628431245897</v>
      </c>
      <c r="AL74" s="53"/>
      <c r="AP74" s="2">
        <f t="shared" si="68"/>
        <v>1.2025865111572496</v>
      </c>
      <c r="AQ74" s="57">
        <f t="shared" si="69"/>
        <v>90.666848142775521</v>
      </c>
      <c r="AT74" s="6">
        <f t="shared" si="62"/>
        <v>1.7735386273663081</v>
      </c>
      <c r="AU74" s="2">
        <f t="shared" si="70"/>
        <v>1.7735386273663081</v>
      </c>
      <c r="AW74" s="3">
        <f t="shared" si="63"/>
        <v>122.86499514325952</v>
      </c>
      <c r="AX74" s="2">
        <f t="shared" si="71"/>
        <v>95.60268658160831</v>
      </c>
      <c r="BD74" s="6">
        <f t="shared" si="64"/>
        <v>1.7735386273663081</v>
      </c>
      <c r="BE74" s="2">
        <f t="shared" si="72"/>
        <v>0.50746004970666669</v>
      </c>
      <c r="BG74" s="3">
        <f t="shared" si="65"/>
        <v>102.01870549823109</v>
      </c>
      <c r="BH74" s="2">
        <f t="shared" si="73"/>
        <v>111.37497925894982</v>
      </c>
      <c r="EE74" s="6">
        <f t="shared" si="50"/>
        <v>3.3972099526823993</v>
      </c>
      <c r="EF74" s="6">
        <f t="shared" si="59"/>
        <v>3.3972099526823993</v>
      </c>
      <c r="EG74" s="6">
        <f t="shared" si="51"/>
        <v>3.3972099526823993</v>
      </c>
      <c r="EH74" s="7">
        <f t="shared" si="43"/>
        <v>1.0000000000000004</v>
      </c>
      <c r="EI74" s="7">
        <f t="shared" si="44"/>
        <v>1.0000000000000002</v>
      </c>
      <c r="EJ74" s="7">
        <f t="shared" si="52"/>
        <v>0.17428248022655368</v>
      </c>
      <c r="EK74" s="7">
        <f t="shared" si="53"/>
        <v>100.17085030517281</v>
      </c>
      <c r="EL74" s="7">
        <f t="shared" si="45"/>
        <v>34.829149694827194</v>
      </c>
      <c r="EM74" s="7">
        <f t="shared" si="54"/>
        <v>98.928804013000629</v>
      </c>
      <c r="EN74" s="7">
        <f t="shared" si="46"/>
        <v>1.0711959869993706</v>
      </c>
      <c r="EO74" s="7"/>
      <c r="EP74" s="7">
        <f t="shared" si="55"/>
        <v>151.25710129492555</v>
      </c>
      <c r="EQ74" s="7">
        <f t="shared" si="56"/>
        <v>31.529131361279109</v>
      </c>
      <c r="ER74" s="6">
        <f t="shared" si="47"/>
        <v>545.38126129429008</v>
      </c>
      <c r="ES74" s="46">
        <f t="shared" si="48"/>
        <v>120.40349335717308</v>
      </c>
      <c r="ET74" s="47">
        <f t="shared" si="49"/>
        <v>136.34531532357252</v>
      </c>
      <c r="EU74" s="7">
        <f t="shared" si="57"/>
        <v>30.853607937752471</v>
      </c>
      <c r="EV74" s="7">
        <f t="shared" si="58"/>
        <v>104.81618396229341</v>
      </c>
      <c r="EW74" s="7"/>
      <c r="EX74" s="7"/>
      <c r="EZ74" s="48">
        <f t="shared" si="60"/>
        <v>4.7973761015403111</v>
      </c>
      <c r="FA74" s="3">
        <f t="shared" si="61"/>
        <v>0.88307759655279272</v>
      </c>
    </row>
    <row r="75" spans="1:157">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J75" s="2">
        <f t="shared" si="66"/>
        <v>1.2874008581693457</v>
      </c>
      <c r="AK75" s="57">
        <f t="shared" si="67"/>
        <v>128.79298402710921</v>
      </c>
      <c r="AL75" s="53"/>
      <c r="AP75" s="2">
        <f t="shared" si="68"/>
        <v>1.2874008581693457</v>
      </c>
      <c r="AQ75" s="57">
        <f t="shared" si="69"/>
        <v>88.847725987222674</v>
      </c>
      <c r="AT75" s="6">
        <f t="shared" si="62"/>
        <v>1.8817833823873806</v>
      </c>
      <c r="AU75" s="2">
        <f t="shared" si="70"/>
        <v>1.8817833823873806</v>
      </c>
      <c r="AW75" s="3">
        <f t="shared" si="63"/>
        <v>125.6203873982145</v>
      </c>
      <c r="AX75" s="2">
        <f t="shared" si="71"/>
        <v>90.103387626564043</v>
      </c>
      <c r="BD75" s="6">
        <f t="shared" si="64"/>
        <v>1.8817833823873806</v>
      </c>
      <c r="BE75" s="2">
        <f t="shared" si="72"/>
        <v>0.47826971394453921</v>
      </c>
      <c r="BG75" s="3">
        <f t="shared" si="65"/>
        <v>96.984703717477302</v>
      </c>
      <c r="BH75" s="2">
        <f t="shared" si="73"/>
        <v>118.17255172753755</v>
      </c>
      <c r="EE75" s="6">
        <f t="shared" si="50"/>
        <v>3.5054547077034721</v>
      </c>
      <c r="EF75" s="6">
        <f t="shared" si="59"/>
        <v>3.5054547077034721</v>
      </c>
      <c r="EG75" s="6">
        <f t="shared" si="51"/>
        <v>3.5054547077034721</v>
      </c>
      <c r="EH75" s="7">
        <f t="shared" si="43"/>
        <v>1.0000000000000004</v>
      </c>
      <c r="EI75" s="7">
        <f t="shared" si="44"/>
        <v>1.0000000000000002</v>
      </c>
      <c r="EJ75" s="7">
        <f t="shared" si="52"/>
        <v>0.16664556924754961</v>
      </c>
      <c r="EK75" s="7">
        <f t="shared" si="53"/>
        <v>104.96026420191194</v>
      </c>
      <c r="EL75" s="7">
        <f t="shared" si="45"/>
        <v>30.03973579808806</v>
      </c>
      <c r="EM75" s="7">
        <f t="shared" si="54"/>
        <v>99.116590199037972</v>
      </c>
      <c r="EN75" s="7">
        <f t="shared" si="46"/>
        <v>0.8834098009620277</v>
      </c>
      <c r="EO75" s="7"/>
      <c r="EP75" s="7">
        <f t="shared" si="55"/>
        <v>152.56621137220037</v>
      </c>
      <c r="EQ75" s="7">
        <f t="shared" si="56"/>
        <v>27.011347408103958</v>
      </c>
      <c r="ER75" s="6">
        <f t="shared" si="47"/>
        <v>561.82529129926672</v>
      </c>
      <c r="ES75" s="46">
        <f t="shared" si="48"/>
        <v>120.20379768378221</v>
      </c>
      <c r="ET75" s="47">
        <f t="shared" si="49"/>
        <v>140.45632282481668</v>
      </c>
      <c r="EU75" s="7">
        <f t="shared" si="57"/>
        <v>32.362413688418158</v>
      </c>
      <c r="EV75" s="7">
        <f t="shared" si="58"/>
        <v>113.44497541671272</v>
      </c>
      <c r="EW75" s="7"/>
      <c r="EX75" s="7"/>
      <c r="EZ75" s="48">
        <f t="shared" si="60"/>
        <v>5.6482266162859904</v>
      </c>
      <c r="FA75" s="3">
        <f t="shared" si="61"/>
        <v>0.85580908901983499</v>
      </c>
    </row>
    <row r="76" spans="1:157">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J76" s="2">
        <f t="shared" si="66"/>
        <v>1.3722152051814418</v>
      </c>
      <c r="AK76" s="57">
        <f t="shared" si="67"/>
        <v>127.16319863622761</v>
      </c>
      <c r="AL76" s="53"/>
      <c r="AP76" s="2">
        <f t="shared" si="68"/>
        <v>1.3722152051814418</v>
      </c>
      <c r="AQ76" s="57">
        <f t="shared" si="69"/>
        <v>87.207299251786765</v>
      </c>
      <c r="AT76" s="6">
        <f t="shared" si="62"/>
        <v>1.9900281374084532</v>
      </c>
      <c r="AU76" s="2">
        <f t="shared" si="70"/>
        <v>1.9900281374084532</v>
      </c>
      <c r="AW76" s="3">
        <f t="shared" si="63"/>
        <v>128.1783232542042</v>
      </c>
      <c r="AX76" s="2">
        <f t="shared" si="71"/>
        <v>85.202341788635621</v>
      </c>
      <c r="BD76" s="6">
        <f t="shared" si="64"/>
        <v>1.9900281374084532</v>
      </c>
      <c r="BE76" s="2">
        <f t="shared" si="72"/>
        <v>0.45225491191900419</v>
      </c>
      <c r="BG76" s="3">
        <f t="shared" si="65"/>
        <v>92.034430043131991</v>
      </c>
      <c r="BH76" s="2">
        <f t="shared" si="73"/>
        <v>124.97012419612527</v>
      </c>
      <c r="EE76" s="6">
        <f t="shared" si="50"/>
        <v>3.6136994627245449</v>
      </c>
      <c r="EF76" s="6">
        <f t="shared" si="59"/>
        <v>3.6136994627245449</v>
      </c>
      <c r="EG76" s="6">
        <f t="shared" si="51"/>
        <v>3.6136994627245449</v>
      </c>
      <c r="EH76" s="3">
        <f t="shared" si="43"/>
        <v>1.0000000000000004</v>
      </c>
      <c r="EI76" s="3">
        <f t="shared" si="44"/>
        <v>1.0000000000000002</v>
      </c>
      <c r="EJ76" s="3">
        <f t="shared" si="52"/>
        <v>0.15956060332691369</v>
      </c>
      <c r="EK76" s="3">
        <f t="shared" si="53"/>
        <v>109.81348968583994</v>
      </c>
      <c r="EL76" s="3">
        <f t="shared" si="45"/>
        <v>25.18651031416006</v>
      </c>
      <c r="EM76" s="3">
        <f t="shared" si="54"/>
        <v>99.290804450336452</v>
      </c>
      <c r="EN76" s="3">
        <f t="shared" si="46"/>
        <v>0.70919554966354781</v>
      </c>
      <c r="EO76" s="3"/>
      <c r="EP76" s="3">
        <f t="shared" si="55"/>
        <v>153.8336175987528</v>
      </c>
      <c r="EQ76" s="3">
        <f t="shared" si="56"/>
        <v>22.500280033821355</v>
      </c>
      <c r="ER76" s="6">
        <f t="shared" si="47"/>
        <v>578.40874129940744</v>
      </c>
      <c r="ES76" s="46">
        <f t="shared" si="48"/>
        <v>120.04500109909183</v>
      </c>
      <c r="ET76" s="47">
        <f t="shared" si="49"/>
        <v>144.60218532485186</v>
      </c>
      <c r="EU76" s="3">
        <f t="shared" si="57"/>
        <v>33.788616499660961</v>
      </c>
      <c r="EV76" s="3">
        <f t="shared" si="58"/>
        <v>122.1019052910305</v>
      </c>
      <c r="EW76" s="3"/>
      <c r="EX76" s="3"/>
      <c r="EZ76" s="48">
        <f t="shared" si="60"/>
        <v>6.836964578552684</v>
      </c>
      <c r="FA76" s="3">
        <f t="shared" si="61"/>
        <v>0.83017418325600134</v>
      </c>
    </row>
    <row r="77" spans="1:157">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J77" s="2">
        <v>1.0228340484744547</v>
      </c>
      <c r="AK77" s="57">
        <f t="shared" si="67"/>
        <v>134.99999999999997</v>
      </c>
      <c r="AL77" s="53"/>
      <c r="AP77" s="2">
        <v>1.0228340484744547</v>
      </c>
      <c r="AQ77" s="57">
        <f t="shared" si="69"/>
        <v>95.28729472049632</v>
      </c>
      <c r="AT77" s="6">
        <f t="shared" si="62"/>
        <v>2.098272892429526</v>
      </c>
      <c r="AU77" s="2">
        <f t="shared" si="70"/>
        <v>2.098272892429526</v>
      </c>
      <c r="AW77" s="3">
        <f t="shared" si="63"/>
        <v>130.56595153151463</v>
      </c>
      <c r="AX77" s="2">
        <f t="shared" si="71"/>
        <v>80.80696183238318</v>
      </c>
      <c r="BD77" s="6">
        <f t="shared" si="64"/>
        <v>2.098272892429526</v>
      </c>
      <c r="BE77" s="2">
        <f t="shared" si="72"/>
        <v>0.42892418962622042</v>
      </c>
      <c r="BG77" s="3">
        <f t="shared" si="65"/>
        <v>87.155187947676183</v>
      </c>
      <c r="BH77" s="2">
        <f t="shared" si="73"/>
        <v>131.76769666471299</v>
      </c>
      <c r="EE77" s="6">
        <f t="shared" si="50"/>
        <v>3.7219442177456177</v>
      </c>
      <c r="EF77" s="6">
        <f t="shared" si="59"/>
        <v>3.7219442177456177</v>
      </c>
      <c r="EG77" s="6">
        <f t="shared" si="51"/>
        <v>3.7219442177456177</v>
      </c>
      <c r="EH77" s="3">
        <f t="shared" si="43"/>
        <v>1.0000000000000004</v>
      </c>
      <c r="EI77" s="3">
        <f t="shared" si="44"/>
        <v>1.0000000000000002</v>
      </c>
      <c r="EJ77" s="3">
        <f t="shared" si="52"/>
        <v>0.15297289503647474</v>
      </c>
      <c r="EK77" s="3">
        <f t="shared" si="53"/>
        <v>114.72942714456889</v>
      </c>
      <c r="EL77" s="3">
        <f t="shared" si="45"/>
        <v>20.270572855431112</v>
      </c>
      <c r="EM77" s="3">
        <f t="shared" si="54"/>
        <v>99.452791491692395</v>
      </c>
      <c r="EN77" s="3">
        <f t="shared" si="46"/>
        <v>0.54720850830760526</v>
      </c>
      <c r="EO77" s="3"/>
      <c r="EP77" s="3">
        <f t="shared" si="55"/>
        <v>155.06217773953648</v>
      </c>
      <c r="EQ77" s="3">
        <f t="shared" si="56"/>
        <v>17.99447868862017</v>
      </c>
      <c r="ER77" s="6">
        <f t="shared" si="47"/>
        <v>595.12725451733115</v>
      </c>
      <c r="ES77" s="46">
        <f t="shared" si="48"/>
        <v>119.92265729289997</v>
      </c>
      <c r="ET77" s="47">
        <f t="shared" si="49"/>
        <v>148.78181362933279</v>
      </c>
      <c r="EU77" s="3">
        <f t="shared" si="57"/>
        <v>35.13952044663651</v>
      </c>
      <c r="EV77" s="3">
        <f t="shared" si="58"/>
        <v>130.78733494071261</v>
      </c>
      <c r="EW77" s="3"/>
      <c r="EX77" s="3"/>
      <c r="EZ77" s="48">
        <f t="shared" si="60"/>
        <v>8.6172086684344382</v>
      </c>
      <c r="FA77" s="3">
        <f t="shared" si="61"/>
        <v>0.80603034986298117</v>
      </c>
    </row>
    <row r="78" spans="1:157">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J78" s="2">
        <f t="shared" ref="AJ78:AJ95" si="74">($AJ$96-$AJ$61)/35+AJ77</f>
        <v>1.1076483954865508</v>
      </c>
      <c r="AK78" s="57">
        <f t="shared" si="67"/>
        <v>132.78924766986555</v>
      </c>
      <c r="AL78" s="53"/>
      <c r="AP78" s="2">
        <f t="shared" ref="AP78:AP95" si="75">($AJ$96-$AJ$61)/35+AP77</f>
        <v>1.1076483954865508</v>
      </c>
      <c r="AQ78" s="57">
        <f t="shared" si="69"/>
        <v>92.959129218750974</v>
      </c>
      <c r="AT78" s="6">
        <f t="shared" si="62"/>
        <v>2.2065176474505988</v>
      </c>
      <c r="AU78" s="2">
        <f t="shared" si="70"/>
        <v>2.2065176474505988</v>
      </c>
      <c r="AW78" s="3">
        <f t="shared" si="63"/>
        <v>132.80531602222374</v>
      </c>
      <c r="AX78" s="2">
        <f t="shared" si="71"/>
        <v>76.842828666419308</v>
      </c>
      <c r="BD78" s="6">
        <f t="shared" si="64"/>
        <v>2.2065176474505988</v>
      </c>
      <c r="BE78" s="2">
        <f t="shared" si="72"/>
        <v>0.40788252975898753</v>
      </c>
      <c r="BG78" s="3">
        <f t="shared" si="65"/>
        <v>82.336440411382355</v>
      </c>
      <c r="BH78" s="2">
        <f t="shared" si="73"/>
        <v>138.56526913330072</v>
      </c>
      <c r="EE78" s="6">
        <f t="shared" si="50"/>
        <v>3.8301889727666905</v>
      </c>
      <c r="EF78" s="6">
        <f t="shared" si="59"/>
        <v>3.8301889727666905</v>
      </c>
      <c r="EG78" s="6">
        <f t="shared" si="51"/>
        <v>3.8301889727666905</v>
      </c>
      <c r="EH78" s="3">
        <f t="shared" si="43"/>
        <v>1.0000000000000004</v>
      </c>
      <c r="EI78" s="3">
        <f t="shared" si="44"/>
        <v>1.0000000000000002</v>
      </c>
      <c r="EJ78" s="3">
        <f t="shared" si="52"/>
        <v>0.14683455907552792</v>
      </c>
      <c r="EK78" s="3">
        <f t="shared" si="53"/>
        <v>119.70702755803295</v>
      </c>
      <c r="EL78" s="3">
        <f t="shared" si="45"/>
        <v>15.292972441967052</v>
      </c>
      <c r="EM78" s="3">
        <f t="shared" si="54"/>
        <v>99.603728788446404</v>
      </c>
      <c r="EN78" s="3">
        <f t="shared" si="46"/>
        <v>0.39627121155359646</v>
      </c>
      <c r="EO78" s="3"/>
      <c r="EP78" s="3">
        <f t="shared" si="55"/>
        <v>156.25446234111479</v>
      </c>
      <c r="EQ78" s="3">
        <f t="shared" si="56"/>
        <v>13.492649000916972</v>
      </c>
      <c r="ER78" s="6">
        <f t="shared" si="47"/>
        <v>611.976767605443</v>
      </c>
      <c r="ES78" s="46">
        <f t="shared" si="48"/>
        <v>119.83288004000016</v>
      </c>
      <c r="ET78" s="47">
        <f t="shared" si="49"/>
        <v>152.99419190136075</v>
      </c>
      <c r="EU78" s="3">
        <f t="shared" si="57"/>
        <v>36.421582301114626</v>
      </c>
      <c r="EV78" s="3">
        <f t="shared" si="58"/>
        <v>139.50154290044378</v>
      </c>
      <c r="EW78" s="3"/>
      <c r="EX78" s="3"/>
      <c r="EZ78" s="48">
        <f t="shared" si="60"/>
        <v>11.580710528414073</v>
      </c>
      <c r="FA78" s="3">
        <f t="shared" si="61"/>
        <v>0.7832511715036834</v>
      </c>
    </row>
    <row r="79" spans="1:157">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J79" s="2">
        <f t="shared" si="74"/>
        <v>1.1924627424986469</v>
      </c>
      <c r="AK79" s="57">
        <f t="shared" si="67"/>
        <v>130.80064745174073</v>
      </c>
      <c r="AL79" s="53"/>
      <c r="AP79" s="2">
        <f t="shared" si="75"/>
        <v>1.1924627424986469</v>
      </c>
      <c r="AQ79" s="57">
        <f t="shared" si="69"/>
        <v>90.897499180386205</v>
      </c>
      <c r="AT79" s="6">
        <f t="shared" si="62"/>
        <v>2.3147624024716715</v>
      </c>
      <c r="AU79" s="2">
        <f t="shared" si="70"/>
        <v>2.3147624024716715</v>
      </c>
      <c r="AW79" s="3">
        <f t="shared" si="63"/>
        <v>134.9145311383177</v>
      </c>
      <c r="AX79" s="2">
        <f t="shared" si="71"/>
        <v>73.249443377613346</v>
      </c>
      <c r="BD79" s="6">
        <f t="shared" si="64"/>
        <v>2.3147624024716715</v>
      </c>
      <c r="BE79" s="2">
        <f t="shared" si="72"/>
        <v>0.38880880346034324</v>
      </c>
      <c r="BG79" s="3">
        <f t="shared" si="65"/>
        <v>77.569365954245015</v>
      </c>
      <c r="BH79" s="2">
        <f t="shared" si="73"/>
        <v>145.36284160188845</v>
      </c>
      <c r="EE79" s="6">
        <f t="shared" si="50"/>
        <v>3.9384337277877632</v>
      </c>
      <c r="EF79" s="6">
        <f t="shared" si="59"/>
        <v>3.9384337277877632</v>
      </c>
      <c r="EG79" s="6">
        <f t="shared" si="51"/>
        <v>3.9384337277877632</v>
      </c>
      <c r="EH79" s="3">
        <f t="shared" si="43"/>
        <v>1.0000000000000004</v>
      </c>
      <c r="EI79" s="3">
        <f t="shared" si="44"/>
        <v>1.0000000000000002</v>
      </c>
      <c r="EJ79" s="3">
        <f t="shared" si="52"/>
        <v>0.14110350352248094</v>
      </c>
      <c r="EK79" s="3">
        <f t="shared" si="53"/>
        <v>124.74528879724494</v>
      </c>
      <c r="EL79" s="3">
        <f t="shared" si="45"/>
        <v>10.254711202755061</v>
      </c>
      <c r="EM79" s="3">
        <f t="shared" si="54"/>
        <v>99.744651350884723</v>
      </c>
      <c r="EN79" s="3">
        <f t="shared" si="46"/>
        <v>0.25534864911527677</v>
      </c>
      <c r="EO79" s="3"/>
      <c r="EP79" s="3">
        <f t="shared" si="55"/>
        <v>157.41279176596152</v>
      </c>
      <c r="EQ79" s="3">
        <f t="shared" si="56"/>
        <v>8.9936333411503337</v>
      </c>
      <c r="ER79" s="6">
        <f t="shared" si="47"/>
        <v>628.95348161744505</v>
      </c>
      <c r="ES79" s="46">
        <f t="shared" si="48"/>
        <v>119.77226070477727</v>
      </c>
      <c r="ET79" s="47">
        <f t="shared" si="49"/>
        <v>157.23837040436126</v>
      </c>
      <c r="EU79" s="3">
        <f t="shared" si="57"/>
        <v>37.640531061184248</v>
      </c>
      <c r="EV79" s="3">
        <f t="shared" si="58"/>
        <v>148.24473706321092</v>
      </c>
      <c r="EW79" s="3"/>
      <c r="EX79" s="3"/>
      <c r="EZ79" s="48">
        <f t="shared" si="60"/>
        <v>17.502691714784493</v>
      </c>
      <c r="FA79" s="3">
        <f t="shared" si="61"/>
        <v>0.76172412876555218</v>
      </c>
    </row>
    <row r="80" spans="1:157">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J80" s="2">
        <f t="shared" si="74"/>
        <v>1.277277089510743</v>
      </c>
      <c r="AK80" s="57">
        <f>($L$24*($I$4*(1+$E$6/100))^$L$17*$L$18*(AJ80*(1+$E$7/100))^($L$18-1))*$E$9+($M$24*($I$4*(1+$F$6/100))^$M$17*$M$18*(AJ80*(1+$F$7/100))^($M$18-1))*$F$9</f>
        <v>128.99728958454668</v>
      </c>
      <c r="AL80" s="53"/>
      <c r="AP80" s="2">
        <f t="shared" si="75"/>
        <v>1.277277089510743</v>
      </c>
      <c r="AQ80" s="57">
        <f t="shared" si="69"/>
        <v>89.05485689475492</v>
      </c>
      <c r="AT80" s="6">
        <f t="shared" si="62"/>
        <v>2.4230071574927443</v>
      </c>
      <c r="AU80" s="2">
        <f t="shared" si="70"/>
        <v>2.4230071574927443</v>
      </c>
      <c r="AW80" s="3">
        <f t="shared" si="63"/>
        <v>136.90864349635049</v>
      </c>
      <c r="AX80" s="2">
        <f t="shared" si="71"/>
        <v>69.97711790002613</v>
      </c>
      <c r="BD80" s="6">
        <f t="shared" si="64"/>
        <v>2.4230071574927443</v>
      </c>
      <c r="BE80" s="2">
        <f t="shared" si="72"/>
        <v>0.37143926596209198</v>
      </c>
      <c r="BG80" s="3">
        <f t="shared" si="65"/>
        <v>72.846521324995194</v>
      </c>
      <c r="BH80" s="2">
        <f t="shared" si="73"/>
        <v>152.16041407047621</v>
      </c>
      <c r="EE80" s="6">
        <f t="shared" si="50"/>
        <v>4.0466784828088356</v>
      </c>
      <c r="EF80" s="6">
        <f t="shared" si="59"/>
        <v>4.0466784828088356</v>
      </c>
      <c r="EG80" s="6">
        <f t="shared" si="51"/>
        <v>4.0466784828088356</v>
      </c>
      <c r="EH80" s="3">
        <f t="shared" si="43"/>
        <v>1.0000000000000004</v>
      </c>
      <c r="EI80" s="3">
        <f t="shared" si="44"/>
        <v>1.0000000000000002</v>
      </c>
      <c r="EJ80" s="3">
        <f t="shared" si="52"/>
        <v>0.13574259352486612</v>
      </c>
      <c r="EK80" s="3">
        <f t="shared" si="53"/>
        <v>129.84325228878492</v>
      </c>
      <c r="EL80" s="3">
        <f t="shared" si="45"/>
        <v>5.1567477112150755</v>
      </c>
      <c r="EM80" s="3">
        <f t="shared" si="54"/>
        <v>99.876472298504638</v>
      </c>
      <c r="EN80" s="3">
        <f t="shared" si="46"/>
        <v>0.12352770149536241</v>
      </c>
      <c r="EO80" s="3"/>
      <c r="EP80" s="3">
        <f t="shared" si="55"/>
        <v>158.53926749572562</v>
      </c>
      <c r="EQ80" s="3">
        <f t="shared" si="56"/>
        <v>4.4963942128999932</v>
      </c>
      <c r="ER80" s="6">
        <f t="shared" si="47"/>
        <v>646.05383666812713</v>
      </c>
      <c r="ES80" s="46">
        <f t="shared" si="48"/>
        <v>119.7377996694147</v>
      </c>
      <c r="ET80" s="47">
        <f t="shared" si="49"/>
        <v>161.51345916703178</v>
      </c>
      <c r="EU80" s="3">
        <f t="shared" si="57"/>
        <v>38.801467826310926</v>
      </c>
      <c r="EV80" s="3">
        <f t="shared" si="58"/>
        <v>157.0170649541318</v>
      </c>
      <c r="EW80" s="3"/>
      <c r="EX80" s="3"/>
      <c r="EZ80" s="48">
        <f t="shared" si="60"/>
        <v>35.259201037329461</v>
      </c>
      <c r="FA80" s="3">
        <f t="shared" si="61"/>
        <v>0.74134874138003504</v>
      </c>
    </row>
    <row r="81" spans="1:156">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J81" s="2">
        <f t="shared" si="74"/>
        <v>1.3620914365228391</v>
      </c>
      <c r="AK81" s="57">
        <f t="shared" si="67"/>
        <v>127.35044216702991</v>
      </c>
      <c r="AL81" s="53"/>
      <c r="AP81" s="2">
        <f t="shared" si="75"/>
        <v>1.3620914365228391</v>
      </c>
      <c r="AQ81" s="57">
        <f t="shared" si="69"/>
        <v>87.39468835553599</v>
      </c>
      <c r="AT81" s="6">
        <f t="shared" si="62"/>
        <v>2.5312519125138171</v>
      </c>
      <c r="AU81" s="2">
        <f t="shared" si="70"/>
        <v>2.5312519125138171</v>
      </c>
      <c r="AW81" s="3">
        <f t="shared" si="63"/>
        <v>138.80027365852402</v>
      </c>
      <c r="AX81" s="2">
        <f t="shared" si="71"/>
        <v>66.984663475904199</v>
      </c>
      <c r="BD81" s="6">
        <f t="shared" si="64"/>
        <v>2.5312519125138171</v>
      </c>
      <c r="BE81" s="2">
        <f t="shared" si="72"/>
        <v>0.35555528691184241</v>
      </c>
      <c r="BG81" s="3">
        <f t="shared" si="65"/>
        <v>68.16158177424083</v>
      </c>
      <c r="BH81" s="2">
        <f t="shared" si="73"/>
        <v>158.95798653906391</v>
      </c>
      <c r="EE81" s="6">
        <f>EF81*((1+$E$16/100)*(1+$E$13/100))/((1+$F$16/100)*(1+$F$13/100))</f>
        <v>4.154923237829907</v>
      </c>
      <c r="EF81" s="3">
        <f>(($EJ81/($EI81^(1/($L$18-$M$18))*$EH81^(1/($M$18-$L$18))))^($L$18-$M$18))/((1+$E$16/100)*(1+$E$10/100))*((1+$F$16/100)*(1+$F$10/100))</f>
        <v>4.154923237829907</v>
      </c>
      <c r="EG81" s="6">
        <f>EF81*((1+$E$16/100)*(1+$E$10/100))/((1+$F$16/100)*(1+$F$10/100))</f>
        <v>4.154923237829907</v>
      </c>
      <c r="EH81" s="3">
        <f t="shared" si="43"/>
        <v>1.0000000000000004</v>
      </c>
      <c r="EI81" s="3">
        <f t="shared" si="44"/>
        <v>1.0000000000000002</v>
      </c>
      <c r="EJ81" s="3">
        <f>-($L$18*$M$18*$L$4)/(EK81*($L$18-$M$18)+$L$5*($L$18*$M$18-$L$18))</f>
        <v>0.13071895424836599</v>
      </c>
      <c r="EK81" s="3">
        <f>$L$5-EL81</f>
        <v>135</v>
      </c>
      <c r="EL81" s="3">
        <v>0</v>
      </c>
      <c r="EM81" s="3">
        <f>$L$4-EN81</f>
        <v>100</v>
      </c>
      <c r="EN81" s="3">
        <v>0</v>
      </c>
      <c r="EO81" s="3"/>
      <c r="EP81" s="3">
        <f>$L$20*$L$4^$L$17*$L$5^$L$18</f>
        <v>159.63579872656655</v>
      </c>
      <c r="EQ81" s="3">
        <v>0</v>
      </c>
      <c r="ER81" s="6">
        <f t="shared" si="47"/>
        <v>663.27448971854926</v>
      </c>
      <c r="ES81" s="46">
        <f t="shared" si="48"/>
        <v>119.7268490449249</v>
      </c>
      <c r="ET81" s="47">
        <f t="shared" si="49"/>
        <v>165.81862242963732</v>
      </c>
      <c r="EU81" s="3">
        <f t="shared" si="57"/>
        <v>39.908949681641644</v>
      </c>
      <c r="EV81" s="3">
        <f t="shared" si="58"/>
        <v>165.81862242963732</v>
      </c>
      <c r="EW81" s="3"/>
      <c r="EX81" s="3"/>
      <c r="EZ81" s="48"/>
    </row>
    <row r="82" spans="1:156">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J82" s="2">
        <f t="shared" si="74"/>
        <v>1.4469057835349353</v>
      </c>
      <c r="AK82" s="57">
        <f t="shared" si="67"/>
        <v>125.83734690814435</v>
      </c>
      <c r="AL82" s="53"/>
      <c r="AP82" s="2">
        <f t="shared" si="75"/>
        <v>1.4469057835349353</v>
      </c>
      <c r="AQ82" s="57">
        <f t="shared" si="69"/>
        <v>85.888439301258245</v>
      </c>
      <c r="AT82" s="6">
        <f t="shared" si="62"/>
        <v>2.6394966675348899</v>
      </c>
      <c r="AU82" s="2">
        <f t="shared" si="70"/>
        <v>2.6394966675348899</v>
      </c>
      <c r="AW82" s="3">
        <f t="shared" si="63"/>
        <v>140.60010118557514</v>
      </c>
      <c r="AX82" s="2">
        <f t="shared" si="71"/>
        <v>64.23764788869002</v>
      </c>
      <c r="BD82" s="6">
        <f t="shared" si="64"/>
        <v>2.6394966675348899</v>
      </c>
      <c r="BE82" s="2">
        <f t="shared" si="72"/>
        <v>0.34097409974778969</v>
      </c>
      <c r="BG82" s="3">
        <f t="shared" si="65"/>
        <v>63.509138634207396</v>
      </c>
      <c r="BH82" s="2">
        <f t="shared" si="73"/>
        <v>165.75555900765164</v>
      </c>
    </row>
    <row r="83" spans="1:156" hidden="1">
      <c r="A83" s="53"/>
      <c r="B83" s="53"/>
      <c r="AJ83" s="2">
        <f t="shared" si="74"/>
        <v>1.5317201305470314</v>
      </c>
      <c r="AK83" s="57">
        <f t="shared" si="67"/>
        <v>124.43970189055712</v>
      </c>
      <c r="AL83" s="53"/>
      <c r="AP83" s="2">
        <f t="shared" si="75"/>
        <v>1.5317201305470314</v>
      </c>
      <c r="AQ83" s="57">
        <f t="shared" si="69"/>
        <v>84.513423641298075</v>
      </c>
      <c r="AT83" s="6">
        <f t="shared" si="62"/>
        <v>2.7477414225559627</v>
      </c>
      <c r="AU83" s="2">
        <f t="shared" si="70"/>
        <v>2.7477414225559627</v>
      </c>
      <c r="AW83" s="3">
        <f t="shared" si="63"/>
        <v>142.31723617561599</v>
      </c>
      <c r="AX83" s="2">
        <f t="shared" si="71"/>
        <v>61.707064624281855</v>
      </c>
      <c r="BD83" s="6">
        <f t="shared" si="64"/>
        <v>2.7477414225559627</v>
      </c>
      <c r="BE83" s="2">
        <f t="shared" si="72"/>
        <v>0.32754173759291211</v>
      </c>
      <c r="BG83" s="3">
        <f t="shared" si="65"/>
        <v>58.884539818513133</v>
      </c>
      <c r="BH83" s="2">
        <f t="shared" si="73"/>
        <v>172.55313147623934</v>
      </c>
    </row>
    <row r="84" spans="1:156" hidden="1">
      <c r="A84" s="53"/>
      <c r="B84" s="53"/>
      <c r="AJ84" s="2">
        <f t="shared" si="74"/>
        <v>1.6165344775591275</v>
      </c>
      <c r="AK84" s="57">
        <f t="shared" si="67"/>
        <v>123.1425915323824</v>
      </c>
      <c r="AL84" s="53"/>
      <c r="AP84" s="2">
        <f t="shared" si="75"/>
        <v>1.6165344775591275</v>
      </c>
      <c r="AQ84" s="57">
        <f t="shared" si="69"/>
        <v>83.251364497491011</v>
      </c>
      <c r="AT84" s="6">
        <f t="shared" si="62"/>
        <v>2.8559861775770354</v>
      </c>
      <c r="AU84" s="2">
        <f t="shared" si="70"/>
        <v>2.8559861775770354</v>
      </c>
      <c r="AW84" s="3">
        <f t="shared" si="63"/>
        <v>143.95950733533624</v>
      </c>
      <c r="AX84" s="2">
        <f t="shared" si="71"/>
        <v>59.368304673072423</v>
      </c>
      <c r="BD84" s="6">
        <f t="shared" si="64"/>
        <v>2.8559861775770354</v>
      </c>
      <c r="BE84" s="2">
        <f t="shared" si="72"/>
        <v>0.3151275755695509</v>
      </c>
      <c r="BG84" s="3">
        <f t="shared" si="65"/>
        <v>54.283762875512693</v>
      </c>
      <c r="BH84" s="2">
        <f t="shared" si="73"/>
        <v>179.3507039448271</v>
      </c>
      <c r="EF84" s="45" t="s">
        <v>83</v>
      </c>
    </row>
    <row r="85" spans="1:156" hidden="1">
      <c r="A85" s="53"/>
      <c r="B85" s="53"/>
      <c r="AJ85" s="2">
        <f t="shared" si="74"/>
        <v>1.7013488245712236</v>
      </c>
      <c r="AK85" s="57">
        <f t="shared" si="67"/>
        <v>121.93371566572182</v>
      </c>
      <c r="AL85" s="53"/>
      <c r="AP85" s="2">
        <f t="shared" si="75"/>
        <v>1.7013488245712236</v>
      </c>
      <c r="AQ85" s="57">
        <f t="shared" si="69"/>
        <v>82.087354055207228</v>
      </c>
      <c r="AT85" s="6">
        <f t="shared" si="62"/>
        <v>2.9642309325981082</v>
      </c>
      <c r="AU85" s="2">
        <f t="shared" si="70"/>
        <v>2.9642309325981082</v>
      </c>
      <c r="AW85" s="3">
        <f t="shared" si="63"/>
        <v>145.53368783720018</v>
      </c>
      <c r="AX85" s="2">
        <f t="shared" si="71"/>
        <v>57.200353612079823</v>
      </c>
      <c r="BD85" s="6">
        <f t="shared" si="64"/>
        <v>2.9642309325981082</v>
      </c>
      <c r="BE85" s="2">
        <f t="shared" si="72"/>
        <v>0.30362006890305349</v>
      </c>
      <c r="BG85" s="3">
        <f t="shared" si="65"/>
        <v>49.703313019174765</v>
      </c>
      <c r="BH85" s="2">
        <f t="shared" si="73"/>
        <v>186.14827641341481</v>
      </c>
      <c r="EF85" s="45" t="s">
        <v>84</v>
      </c>
    </row>
    <row r="86" spans="1:156" hidden="1">
      <c r="A86" s="53"/>
      <c r="B86" s="53"/>
      <c r="AJ86" s="2">
        <f t="shared" si="74"/>
        <v>1.7861631715833197</v>
      </c>
      <c r="AK86" s="57">
        <f t="shared" si="67"/>
        <v>120.80282353117873</v>
      </c>
      <c r="AL86" s="53"/>
      <c r="AP86" s="2">
        <f t="shared" si="75"/>
        <v>1.7861631715833197</v>
      </c>
      <c r="AQ86" s="57">
        <f t="shared" si="69"/>
        <v>81.009097520435404</v>
      </c>
      <c r="AT86" s="6">
        <f t="shared" si="62"/>
        <v>3.072475687619181</v>
      </c>
      <c r="AU86" s="2">
        <f t="shared" si="70"/>
        <v>3.072475687619181</v>
      </c>
      <c r="AW86" s="3">
        <f t="shared" si="63"/>
        <v>147.04567422241351</v>
      </c>
      <c r="AX86" s="2">
        <f t="shared" si="71"/>
        <v>55.185158410110262</v>
      </c>
      <c r="BD86" s="6">
        <f t="shared" si="64"/>
        <v>3.072475687619181</v>
      </c>
      <c r="BE86" s="2">
        <f t="shared" si="72"/>
        <v>0.29292339191702366</v>
      </c>
      <c r="BG86" s="3">
        <f t="shared" si="65"/>
        <v>45.140140528661405</v>
      </c>
      <c r="BH86" s="2">
        <f t="shared" si="73"/>
        <v>192.94584888200254</v>
      </c>
      <c r="EF86" s="45" t="s">
        <v>85</v>
      </c>
    </row>
    <row r="87" spans="1:156" hidden="1">
      <c r="AJ87" s="2">
        <f t="shared" si="74"/>
        <v>1.8709775185954158</v>
      </c>
      <c r="AK87" s="57">
        <f t="shared" si="67"/>
        <v>119.74129116751998</v>
      </c>
      <c r="AL87" s="53"/>
      <c r="AP87" s="2">
        <f t="shared" si="75"/>
        <v>1.8709775185954158</v>
      </c>
      <c r="AQ87" s="57">
        <f t="shared" si="69"/>
        <v>80.006354021519002</v>
      </c>
      <c r="AT87" s="6">
        <f t="shared" si="62"/>
        <v>3.1807204426402538</v>
      </c>
      <c r="AU87" s="2">
        <f t="shared" si="70"/>
        <v>3.1807204426402538</v>
      </c>
      <c r="AW87" s="3">
        <f t="shared" si="63"/>
        <v>148.50062945710101</v>
      </c>
      <c r="AX87" s="2">
        <f t="shared" si="71"/>
        <v>53.307123524421598</v>
      </c>
      <c r="BD87" s="6">
        <f t="shared" si="64"/>
        <v>3.1807204426402538</v>
      </c>
      <c r="BE87" s="2">
        <f t="shared" si="72"/>
        <v>0.28295476330919783</v>
      </c>
      <c r="BG87" s="3">
        <f t="shared" si="65"/>
        <v>40.591573314496671</v>
      </c>
      <c r="BH87" s="2">
        <f t="shared" si="73"/>
        <v>199.7434213505903</v>
      </c>
      <c r="EF87" s="45" t="s">
        <v>86</v>
      </c>
    </row>
    <row r="88" spans="1:156" hidden="1">
      <c r="AJ88" s="2">
        <f t="shared" si="74"/>
        <v>1.9557918656075119</v>
      </c>
      <c r="AK88" s="57">
        <f t="shared" si="67"/>
        <v>118.74180106813914</v>
      </c>
      <c r="AL88" s="53"/>
      <c r="AP88" s="2">
        <f t="shared" si="75"/>
        <v>1.9557918656075119</v>
      </c>
      <c r="AQ88" s="57">
        <f t="shared" si="69"/>
        <v>79.07051670189918</v>
      </c>
      <c r="AT88" s="6">
        <f t="shared" si="62"/>
        <v>3.2889651976613266</v>
      </c>
      <c r="AU88" s="2">
        <f t="shared" si="70"/>
        <v>3.2889651976613266</v>
      </c>
      <c r="AW88" s="3">
        <f t="shared" si="63"/>
        <v>149.90309832951982</v>
      </c>
      <c r="AX88" s="2">
        <f t="shared" si="71"/>
        <v>51.552706502653749</v>
      </c>
      <c r="BD88" s="6">
        <f t="shared" si="64"/>
        <v>3.2889651976613266</v>
      </c>
      <c r="BE88" s="2">
        <f t="shared" si="72"/>
        <v>0.27364229960230652</v>
      </c>
      <c r="BG88" s="3">
        <f t="shared" si="65"/>
        <v>36.055261468401696</v>
      </c>
      <c r="BH88" s="2">
        <f t="shared" si="73"/>
        <v>206.54099381917803</v>
      </c>
    </row>
    <row r="89" spans="1:156" hidden="1">
      <c r="AJ89" s="2">
        <f t="shared" si="74"/>
        <v>2.0406062126196081</v>
      </c>
      <c r="AK89" s="57">
        <f t="shared" si="67"/>
        <v>117.79809602732223</v>
      </c>
      <c r="AL89" s="53"/>
      <c r="AP89" s="2">
        <f t="shared" si="75"/>
        <v>2.0406062126196081</v>
      </c>
      <c r="AQ89" s="57">
        <f t="shared" si="69"/>
        <v>78.194292913404155</v>
      </c>
      <c r="AT89" s="6">
        <f t="shared" si="62"/>
        <v>3.3972099526823993</v>
      </c>
      <c r="AU89" s="2">
        <f t="shared" si="70"/>
        <v>3.3972099526823993</v>
      </c>
      <c r="AW89" s="3">
        <f t="shared" si="63"/>
        <v>151.25710129492555</v>
      </c>
      <c r="AX89" s="2">
        <f t="shared" si="71"/>
        <v>49.910090896383416</v>
      </c>
      <c r="BD89" s="6">
        <f t="shared" si="64"/>
        <v>3.3972099526823993</v>
      </c>
      <c r="BE89" s="2">
        <f t="shared" si="72"/>
        <v>0.26492327896583784</v>
      </c>
      <c r="BG89" s="3">
        <f t="shared" si="65"/>
        <v>31.529131361279109</v>
      </c>
      <c r="BH89" s="2">
        <f t="shared" si="73"/>
        <v>213.33856628776573</v>
      </c>
    </row>
    <row r="90" spans="1:156" hidden="1">
      <c r="AJ90" s="2">
        <f t="shared" si="74"/>
        <v>2.1254205596317042</v>
      </c>
      <c r="AK90" s="57">
        <f t="shared" si="67"/>
        <v>116.90478764423004</v>
      </c>
      <c r="AL90" s="53"/>
      <c r="AP90" s="2">
        <f t="shared" si="75"/>
        <v>2.1254205596317042</v>
      </c>
      <c r="AQ90" s="57">
        <f t="shared" si="69"/>
        <v>77.371457539824377</v>
      </c>
      <c r="AT90" s="6">
        <f t="shared" si="62"/>
        <v>3.5054547077034721</v>
      </c>
      <c r="AU90" s="2">
        <f t="shared" si="70"/>
        <v>3.5054547077034721</v>
      </c>
      <c r="AW90" s="3">
        <f t="shared" si="63"/>
        <v>152.56621137220037</v>
      </c>
      <c r="AX90" s="2">
        <f t="shared" si="71"/>
        <v>48.3689197751916</v>
      </c>
      <c r="BD90" s="6">
        <f t="shared" si="64"/>
        <v>3.5054547077034721</v>
      </c>
      <c r="BE90" s="2">
        <f t="shared" si="72"/>
        <v>0.2567427267059505</v>
      </c>
      <c r="BG90" s="3">
        <f t="shared" si="65"/>
        <v>27.011347408103958</v>
      </c>
      <c r="BH90" s="2">
        <f t="shared" si="73"/>
        <v>220.13613875635346</v>
      </c>
    </row>
    <row r="91" spans="1:156" hidden="1">
      <c r="AJ91" s="2">
        <f t="shared" si="74"/>
        <v>2.2102349066438003</v>
      </c>
      <c r="AK91" s="57">
        <f t="shared" si="67"/>
        <v>116.05720566286996</v>
      </c>
      <c r="AL91" s="53"/>
      <c r="AP91" s="2">
        <f t="shared" si="75"/>
        <v>2.2102349066438003</v>
      </c>
      <c r="AQ91" s="57">
        <f t="shared" si="69"/>
        <v>76.596660516889258</v>
      </c>
      <c r="AT91" s="6">
        <f t="shared" si="62"/>
        <v>3.6136994627245449</v>
      </c>
      <c r="AU91" s="2">
        <f t="shared" si="70"/>
        <v>3.6136994627245449</v>
      </c>
      <c r="AW91" s="3">
        <f t="shared" si="63"/>
        <v>153.8336175987528</v>
      </c>
      <c r="AX91" s="2">
        <f t="shared" si="71"/>
        <v>46.920077134649461</v>
      </c>
      <c r="BD91" s="6">
        <f t="shared" si="64"/>
        <v>3.6136994627245449</v>
      </c>
      <c r="BE91" s="2">
        <f t="shared" si="72"/>
        <v>0.24905225497680042</v>
      </c>
      <c r="BG91" s="3">
        <f t="shared" si="65"/>
        <v>22.500280033821355</v>
      </c>
      <c r="BH91" s="2">
        <f t="shared" si="73"/>
        <v>226.93371122494119</v>
      </c>
    </row>
    <row r="92" spans="1:156" hidden="1">
      <c r="AJ92" s="2">
        <f t="shared" si="74"/>
        <v>2.2950492536558964</v>
      </c>
      <c r="AK92" s="57">
        <f t="shared" si="67"/>
        <v>115.25127821406646</v>
      </c>
      <c r="AL92" s="53"/>
      <c r="AP92" s="2">
        <f t="shared" si="75"/>
        <v>2.2950492536558964</v>
      </c>
      <c r="AQ92" s="57">
        <f t="shared" si="69"/>
        <v>75.865275044780105</v>
      </c>
      <c r="AT92" s="6">
        <f t="shared" si="62"/>
        <v>3.7219442177456177</v>
      </c>
      <c r="AU92" s="2">
        <f t="shared" si="70"/>
        <v>3.7219442177456177</v>
      </c>
      <c r="AW92" s="3">
        <f t="shared" si="63"/>
        <v>155.06217773953648</v>
      </c>
      <c r="AX92" s="2">
        <f t="shared" si="71"/>
        <v>45.555507447980098</v>
      </c>
      <c r="BD92" s="6">
        <f t="shared" si="64"/>
        <v>3.7219442177456177</v>
      </c>
      <c r="BE92" s="2">
        <f t="shared" si="72"/>
        <v>0.24180910495889435</v>
      </c>
      <c r="BG92" s="3">
        <f t="shared" si="65"/>
        <v>17.99447868862017</v>
      </c>
      <c r="BH92" s="2">
        <f t="shared" si="73"/>
        <v>233.73128369352895</v>
      </c>
    </row>
    <row r="93" spans="1:156" hidden="1">
      <c r="AJ93" s="2">
        <f t="shared" si="74"/>
        <v>2.3798636006679925</v>
      </c>
      <c r="AK93" s="57">
        <f t="shared" si="67"/>
        <v>114.48343571753142</v>
      </c>
      <c r="AL93" s="53"/>
      <c r="AP93" s="2">
        <f t="shared" si="75"/>
        <v>2.3798636006679925</v>
      </c>
      <c r="AQ93" s="57">
        <f t="shared" si="69"/>
        <v>75.173276721894283</v>
      </c>
      <c r="AT93" s="6">
        <f t="shared" si="62"/>
        <v>3.8301889727666905</v>
      </c>
      <c r="AU93" s="2">
        <f t="shared" si="70"/>
        <v>3.8301889727666905</v>
      </c>
      <c r="AW93" s="3">
        <f t="shared" si="63"/>
        <v>156.25446234111479</v>
      </c>
      <c r="AX93" s="2">
        <f t="shared" si="71"/>
        <v>44.268065815562338</v>
      </c>
      <c r="BD93" s="6">
        <f t="shared" si="64"/>
        <v>3.8301889727666905</v>
      </c>
      <c r="BE93" s="2">
        <f t="shared" si="72"/>
        <v>0.23497535145110504</v>
      </c>
      <c r="BG93" s="3">
        <f t="shared" si="65"/>
        <v>13.492649000916972</v>
      </c>
      <c r="BH93" s="2">
        <f t="shared" si="73"/>
        <v>240.52885616211665</v>
      </c>
    </row>
    <row r="94" spans="1:156" hidden="1">
      <c r="AJ94" s="2">
        <f t="shared" si="74"/>
        <v>2.4646779476800886</v>
      </c>
      <c r="AK94" s="57">
        <f t="shared" si="67"/>
        <v>113.75053309544356</v>
      </c>
      <c r="AL94" s="53"/>
      <c r="AP94" s="2">
        <f t="shared" si="75"/>
        <v>2.4646779476800886</v>
      </c>
      <c r="AQ94" s="57">
        <f t="shared" si="69"/>
        <v>74.51714643504674</v>
      </c>
      <c r="AT94" s="6">
        <f t="shared" si="62"/>
        <v>3.9384337277877632</v>
      </c>
      <c r="AU94" s="2">
        <f t="shared" si="70"/>
        <v>3.9384337277877632</v>
      </c>
      <c r="AW94" s="3">
        <f t="shared" si="63"/>
        <v>157.41279176596152</v>
      </c>
      <c r="AX94" s="2">
        <f t="shared" si="71"/>
        <v>43.051392825573032</v>
      </c>
      <c r="BD94" s="6">
        <f t="shared" si="64"/>
        <v>3.9384337277877632</v>
      </c>
      <c r="BE94" s="2">
        <f t="shared" si="72"/>
        <v>0.22851723862966569</v>
      </c>
      <c r="BG94" s="3">
        <f t="shared" si="65"/>
        <v>8.9936333411503337</v>
      </c>
      <c r="BH94" s="2">
        <f t="shared" si="73"/>
        <v>247.32642863070436</v>
      </c>
    </row>
    <row r="95" spans="1:156" hidden="1">
      <c r="AJ95" s="2">
        <f t="shared" si="74"/>
        <v>2.5494922946921847</v>
      </c>
      <c r="AK95" s="57">
        <f t="shared" si="67"/>
        <v>113.04978629958971</v>
      </c>
      <c r="AL95" s="53"/>
      <c r="AP95" s="2">
        <f t="shared" si="75"/>
        <v>2.5494922946921847</v>
      </c>
      <c r="AQ95" s="57">
        <f t="shared" si="69"/>
        <v>73.893791687920995</v>
      </c>
      <c r="AT95" s="6">
        <f t="shared" si="62"/>
        <v>4.0466784828088356</v>
      </c>
      <c r="AU95" s="2">
        <f t="shared" si="70"/>
        <v>4.0466784828088356</v>
      </c>
      <c r="AW95" s="3">
        <f t="shared" si="63"/>
        <v>158.53926749572562</v>
      </c>
      <c r="AX95" s="2">
        <f t="shared" si="71"/>
        <v>41.899809498773742</v>
      </c>
      <c r="BD95" s="6">
        <f t="shared" si="64"/>
        <v>4.0466784828088356</v>
      </c>
      <c r="BE95" s="2">
        <f t="shared" si="72"/>
        <v>0.22240462241401054</v>
      </c>
      <c r="BG95" s="3">
        <f t="shared" si="65"/>
        <v>4.4963942128999932</v>
      </c>
      <c r="BH95" s="2">
        <f t="shared" si="73"/>
        <v>254.12400109929206</v>
      </c>
    </row>
    <row r="96" spans="1:156" hidden="1">
      <c r="AJ96" s="2">
        <f>AG62</f>
        <v>3.0685021454233641</v>
      </c>
      <c r="AK96" s="57">
        <f t="shared" si="67"/>
        <v>109.33417178956181</v>
      </c>
      <c r="AL96" s="53"/>
      <c r="AP96" s="2">
        <f>AM62</f>
        <v>2.6397244049775441</v>
      </c>
      <c r="AQ96" s="57">
        <f t="shared" si="69"/>
        <v>73.263545813254638</v>
      </c>
      <c r="AT96" s="6">
        <f t="shared" si="62"/>
        <v>4.154923237829907</v>
      </c>
      <c r="AU96" s="2">
        <f t="shared" si="70"/>
        <v>4.154923237829907</v>
      </c>
      <c r="AW96" s="3">
        <f t="shared" si="63"/>
        <v>159.63579872656655</v>
      </c>
      <c r="AX96" s="2">
        <f t="shared" si="71"/>
        <v>40.808228654793297</v>
      </c>
      <c r="BD96" s="6">
        <f t="shared" si="64"/>
        <v>4.154923237829907</v>
      </c>
      <c r="BE96" s="2">
        <f t="shared" si="72"/>
        <v>0.21661049999808538</v>
      </c>
      <c r="BG96" s="3">
        <f t="shared" si="65"/>
        <v>0</v>
      </c>
      <c r="BH96" s="2">
        <f t="shared" si="73"/>
        <v>260.92157356787976</v>
      </c>
    </row>
  </sheetData>
  <mergeCells count="5">
    <mergeCell ref="P30:T30"/>
    <mergeCell ref="U30:Y30"/>
    <mergeCell ref="Z30:AD30"/>
    <mergeCell ref="F28:N28"/>
    <mergeCell ref="F55:N55"/>
  </mergeCells>
  <phoneticPr fontId="0" type="noConversion"/>
  <pageMargins left="0.75" right="0.75" top="1" bottom="1" header="0.5" footer="0.5"/>
  <pageSetup orientation="portrait" r:id="rId1"/>
  <headerFooter alignWithMargins="0"/>
  <ignoredErrors>
    <ignoredError sqref="E18 L22:M22 L17:M17" unlockedFormula="1"/>
  </ignoredErrors>
  <drawing r:id="rId2"/>
  <legacyDrawing r:id="rId3"/>
</worksheet>
</file>

<file path=xl/worksheets/sheet3.xml><?xml version="1.0" encoding="utf-8"?>
<worksheet xmlns="http://schemas.openxmlformats.org/spreadsheetml/2006/main" xmlns:r="http://schemas.openxmlformats.org/officeDocument/2006/relationships">
  <dimension ref="A1:B65504"/>
  <sheetViews>
    <sheetView workbookViewId="0">
      <selection activeCell="A17" sqref="A17"/>
    </sheetView>
  </sheetViews>
  <sheetFormatPr defaultColWidth="0" defaultRowHeight="12.75" zeroHeight="1"/>
  <cols>
    <col min="1" max="1" width="133.7109375" style="84" customWidth="1"/>
    <col min="2" max="2" width="9.140625" style="84" customWidth="1"/>
    <col min="3" max="16384" width="0" style="84" hidden="1"/>
  </cols>
  <sheetData>
    <row r="1" spans="1:2" ht="19.5" thickBot="1">
      <c r="A1" s="82" t="s">
        <v>114</v>
      </c>
      <c r="B1" s="83"/>
    </row>
    <row r="2" spans="1:2" ht="15.75" thickTop="1">
      <c r="A2" s="85"/>
    </row>
    <row r="3" spans="1:2" ht="15">
      <c r="A3" s="86" t="s">
        <v>123</v>
      </c>
    </row>
    <row r="4" spans="1:2" ht="15">
      <c r="A4" s="85"/>
    </row>
    <row r="5" spans="1:2" ht="105">
      <c r="A5" s="87" t="s">
        <v>115</v>
      </c>
    </row>
    <row r="6" spans="1:2" ht="15">
      <c r="A6" s="85"/>
    </row>
    <row r="7" spans="1:2" ht="15">
      <c r="A7" s="86" t="s">
        <v>124</v>
      </c>
    </row>
    <row r="8" spans="1:2" ht="15">
      <c r="A8" s="85"/>
    </row>
    <row r="9" spans="1:2" ht="60">
      <c r="A9" s="87" t="s">
        <v>116</v>
      </c>
    </row>
    <row r="10" spans="1:2" ht="15">
      <c r="A10" s="85"/>
    </row>
    <row r="11" spans="1:2" ht="15">
      <c r="A11" s="86" t="s">
        <v>125</v>
      </c>
    </row>
    <row r="12" spans="1:2" ht="15">
      <c r="A12" s="85"/>
    </row>
    <row r="13" spans="1:2" ht="90">
      <c r="A13" s="87" t="s">
        <v>122</v>
      </c>
    </row>
    <row r="14" spans="1:2" ht="15">
      <c r="A14" s="85"/>
    </row>
    <row r="15" spans="1:2" ht="15">
      <c r="A15" s="86" t="s">
        <v>126</v>
      </c>
    </row>
    <row r="16" spans="1:2" ht="15">
      <c r="A16" s="85"/>
    </row>
    <row r="17" spans="1:1" ht="90">
      <c r="A17" s="87" t="s">
        <v>117</v>
      </c>
    </row>
    <row r="18" spans="1:1" ht="15">
      <c r="A18" s="85"/>
    </row>
    <row r="19" spans="1:1" ht="15">
      <c r="A19" s="86" t="s">
        <v>127</v>
      </c>
    </row>
    <row r="20" spans="1:1" ht="15">
      <c r="A20" s="85"/>
    </row>
    <row r="21" spans="1:1" ht="75">
      <c r="A21" s="88" t="s">
        <v>118</v>
      </c>
    </row>
    <row r="22" spans="1:1" ht="15">
      <c r="A22" s="85"/>
    </row>
    <row r="23" spans="1:1" ht="15">
      <c r="A23" s="86" t="s">
        <v>128</v>
      </c>
    </row>
    <row r="24" spans="1:1" ht="15">
      <c r="A24" s="85"/>
    </row>
    <row r="25" spans="1:1" ht="105">
      <c r="A25" s="88" t="s">
        <v>119</v>
      </c>
    </row>
    <row r="26" spans="1:1" ht="15">
      <c r="A26" s="85"/>
    </row>
    <row r="27" spans="1:1" ht="15">
      <c r="A27" s="86" t="s">
        <v>129</v>
      </c>
    </row>
    <row r="28" spans="1:1" ht="15">
      <c r="A28" s="85"/>
    </row>
    <row r="29" spans="1:1" ht="123" customHeight="1">
      <c r="A29" s="89" t="s">
        <v>120</v>
      </c>
    </row>
    <row r="30" spans="1:1" ht="15">
      <c r="A30" s="85"/>
    </row>
    <row r="31" spans="1:1" ht="15">
      <c r="A31" s="86" t="s">
        <v>130</v>
      </c>
    </row>
    <row r="32" spans="1:1" ht="15">
      <c r="A32" s="85"/>
    </row>
    <row r="33" spans="1:1" ht="120">
      <c r="A33" s="88" t="s">
        <v>121</v>
      </c>
    </row>
    <row r="34" spans="1:1"/>
    <row r="35" spans="1:1" hidden="1"/>
    <row r="36" spans="1:1" hidden="1"/>
    <row r="37" spans="1:1" hidden="1"/>
    <row r="38" spans="1:1" hidden="1"/>
    <row r="39" spans="1:1" hidden="1"/>
    <row r="40" spans="1:1" hidden="1"/>
    <row r="41" spans="1:1" hidden="1"/>
    <row r="42" spans="1:1" hidden="1"/>
    <row r="43" spans="1:1" hidden="1"/>
    <row r="44" spans="1:1" hidden="1"/>
    <row r="45" spans="1:1" hidden="1"/>
    <row r="46" spans="1:1" hidden="1"/>
    <row r="47" spans="1:1" hidden="1"/>
    <row r="48" spans="1: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Guide</vt:lpstr>
      <vt:lpstr>Model</vt:lpstr>
      <vt:lpstr>Exercises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Gilbert</dc:creator>
  <cp:lastModifiedBy>jgilbert</cp:lastModifiedBy>
  <dcterms:created xsi:type="dcterms:W3CDTF">2003-01-17T04:47:49Z</dcterms:created>
  <dcterms:modified xsi:type="dcterms:W3CDTF">2010-01-19T22:26:10Z</dcterms:modified>
</cp:coreProperties>
</file>